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comments11.xml" ContentType="application/vnd.openxmlformats-officedocument.spreadsheetml.comments+xml"/>
  <Override PartName="/xl/drawings/drawing16.xml" ContentType="application/vnd.openxmlformats-officedocument.drawing+xml"/>
  <Override PartName="/xl/comments12.xml" ContentType="application/vnd.openxmlformats-officedocument.spreadsheetml.comments+xml"/>
  <Override PartName="/xl/drawings/drawing17.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Hulab\Mit drev\WordPress Hjemmeside\LiveOpdatering\"/>
    </mc:Choice>
  </mc:AlternateContent>
  <xr:revisionPtr revIDLastSave="0" documentId="13_ncr:1_{F85FBC5C-F677-4BD6-9D66-BB1FF9F79B28}" xr6:coauthVersionLast="47" xr6:coauthVersionMax="47" xr10:uidLastSave="{00000000-0000-0000-0000-000000000000}"/>
  <bookViews>
    <workbookView xWindow="-120" yWindow="-120" windowWidth="38640" windowHeight="21120" tabRatio="987" xr2:uid="{00000000-000D-0000-FFFF-FFFF00000000}"/>
  </bookViews>
  <sheets>
    <sheet name="Forside" sheetId="13" r:id="rId1"/>
    <sheet name="1.1 Atomet og Elektronstruktur" sheetId="2" r:id="rId2"/>
    <sheet name="1.2 Afstem reaktionsskemaer" sheetId="3" r:id="rId3"/>
    <sheet name="2.1 Ioner og navne" sheetId="4" r:id="rId4"/>
    <sheet name="2.2 Fældningsreaktioner" sheetId="8" r:id="rId5"/>
    <sheet name="3 Molekyler og polaritet" sheetId="5" r:id="rId6"/>
    <sheet name="4.1 Betydende cifre" sheetId="7" r:id="rId7"/>
    <sheet name="4.2 Mængdeberegningsskema" sheetId="22" r:id="rId8"/>
    <sheet name="4.3 Mængdeberegningsskema" sheetId="1" r:id="rId9"/>
    <sheet name="5.1 Stofmængdekoncentration" sheetId="6" r:id="rId10"/>
    <sheet name="5.2 Mohr-Titrering" sheetId="24" r:id="rId11"/>
    <sheet name="6.1 Substitution i benzin" sheetId="16" r:id="rId12"/>
    <sheet name="Sheet2" sheetId="19" state="hidden" r:id="rId13"/>
    <sheet name="7.1 SyreBase Kemi" sheetId="12" r:id="rId14"/>
    <sheet name="7.2 (svær) pH-beregninger" sheetId="11" r:id="rId15"/>
    <sheet name="8.1 Oxidationstal" sheetId="9" r:id="rId16"/>
    <sheet name="8.2 Redoxreaktioner" sheetId="10" r:id="rId17"/>
    <sheet name="Fagordsquiz for Kemi C" sheetId="17"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9" l="1"/>
  <c r="D49" i="9"/>
  <c r="E49" i="9" s="1"/>
  <c r="D51" i="9"/>
  <c r="I101" i="17"/>
  <c r="D121" i="10"/>
  <c r="M15" i="4"/>
  <c r="E22" i="7"/>
  <c r="E23" i="7"/>
  <c r="E24" i="7"/>
  <c r="E25" i="7"/>
  <c r="E26" i="7"/>
  <c r="E27" i="7"/>
  <c r="E28" i="7"/>
  <c r="E29" i="7"/>
  <c r="E21" i="7"/>
  <c r="E30" i="7"/>
  <c r="F27" i="24"/>
  <c r="E42" i="3"/>
  <c r="D37" i="4"/>
  <c r="D38" i="4"/>
  <c r="D39" i="4"/>
  <c r="D40" i="4"/>
  <c r="D41" i="4"/>
  <c r="D42" i="4"/>
  <c r="D43" i="4"/>
  <c r="D44" i="4"/>
  <c r="D45" i="4"/>
  <c r="D46" i="4"/>
  <c r="D47" i="4"/>
  <c r="D48" i="4"/>
  <c r="D49" i="4"/>
  <c r="E32" i="4"/>
  <c r="D36" i="4"/>
  <c r="D90" i="6" l="1"/>
  <c r="D187" i="6"/>
  <c r="C187" i="6"/>
  <c r="D28" i="4"/>
  <c r="D29" i="4"/>
  <c r="D30" i="4"/>
  <c r="D31" i="4"/>
  <c r="D32" i="4"/>
  <c r="D27" i="4"/>
  <c r="B17" i="24"/>
  <c r="B13" i="24"/>
  <c r="E25" i="16"/>
  <c r="E21" i="16"/>
  <c r="D21" i="16" s="1"/>
  <c r="E17" i="16"/>
  <c r="E13" i="16"/>
  <c r="D50" i="9"/>
  <c r="D47" i="9"/>
  <c r="H42" i="3"/>
  <c r="E9" i="16"/>
  <c r="D9" i="16" s="1"/>
  <c r="D25" i="16" l="1"/>
  <c r="D17" i="16"/>
  <c r="D13" i="16"/>
  <c r="D38" i="9"/>
  <c r="D39" i="9"/>
  <c r="D40" i="9"/>
  <c r="D41" i="9"/>
  <c r="D42" i="9"/>
  <c r="D43" i="9"/>
  <c r="D37" i="9"/>
  <c r="D29" i="9"/>
  <c r="D30" i="9"/>
  <c r="D31" i="9"/>
  <c r="D32" i="9"/>
  <c r="D28" i="9"/>
  <c r="D17" i="9"/>
  <c r="D18" i="9"/>
  <c r="D19" i="9"/>
  <c r="D20" i="9"/>
  <c r="D21" i="9"/>
  <c r="D22" i="9"/>
  <c r="D23" i="9"/>
  <c r="D16" i="9"/>
  <c r="H204" i="6"/>
  <c r="G204" i="6"/>
  <c r="D204" i="6"/>
  <c r="C204" i="6"/>
  <c r="H171" i="6"/>
  <c r="G171" i="6"/>
  <c r="D171" i="6"/>
  <c r="C171" i="6"/>
  <c r="H138" i="6"/>
  <c r="G138" i="6"/>
  <c r="D138" i="6"/>
  <c r="C138" i="6"/>
  <c r="D31" i="12"/>
  <c r="D30" i="12"/>
  <c r="D23" i="12"/>
  <c r="D24" i="12"/>
  <c r="D22" i="12"/>
  <c r="B94" i="6"/>
  <c r="C120" i="6"/>
  <c r="D111" i="6"/>
  <c r="C111" i="6"/>
  <c r="D81" i="6"/>
  <c r="C81" i="6"/>
  <c r="D51" i="6"/>
  <c r="C51" i="6"/>
  <c r="E8" i="7"/>
  <c r="E9" i="7"/>
  <c r="E10" i="7"/>
  <c r="E11" i="7"/>
  <c r="E12" i="7"/>
  <c r="E13" i="7"/>
  <c r="E14" i="7"/>
  <c r="E15" i="7"/>
  <c r="E7" i="7"/>
  <c r="L42" i="3"/>
  <c r="J42" i="3"/>
  <c r="C42" i="3"/>
  <c r="C50" i="3"/>
  <c r="E50" i="3"/>
  <c r="H50" i="3"/>
  <c r="J50" i="3"/>
  <c r="J34" i="3"/>
  <c r="H34" i="3"/>
  <c r="E34" i="3"/>
  <c r="C34" i="3"/>
  <c r="J26" i="3"/>
  <c r="H26" i="3"/>
  <c r="E26" i="3"/>
  <c r="C26" i="3"/>
  <c r="C18" i="3"/>
  <c r="E18" i="3"/>
  <c r="H18" i="3"/>
  <c r="L10" i="3"/>
  <c r="J10" i="3"/>
  <c r="H10" i="3"/>
  <c r="E10" i="3"/>
  <c r="C10" i="3"/>
  <c r="C25" i="2"/>
  <c r="D25" i="2"/>
  <c r="E25" i="2"/>
  <c r="F25" i="2"/>
  <c r="G25" i="2"/>
  <c r="H25" i="2"/>
  <c r="D16" i="2"/>
  <c r="D17" i="2"/>
  <c r="D18" i="2"/>
  <c r="D15" i="2"/>
  <c r="G16" i="2"/>
  <c r="G17" i="2"/>
  <c r="G18" i="2"/>
  <c r="G15" i="2"/>
  <c r="J16" i="2"/>
  <c r="J17" i="2"/>
  <c r="J18" i="2"/>
  <c r="J15" i="2"/>
  <c r="J9" i="2"/>
  <c r="J10" i="2"/>
  <c r="J11" i="2"/>
  <c r="J8" i="2"/>
  <c r="G9" i="2"/>
  <c r="G10" i="2"/>
  <c r="G11" i="2"/>
  <c r="G8" i="2"/>
  <c r="D9" i="2"/>
  <c r="D10" i="2"/>
  <c r="D11" i="2"/>
  <c r="D8" i="2"/>
  <c r="AB51" i="9"/>
  <c r="E51" i="9" s="1"/>
  <c r="AB50" i="9"/>
  <c r="AB48" i="9"/>
  <c r="AB47" i="9"/>
  <c r="D20" i="8"/>
  <c r="M23" i="4"/>
  <c r="D23" i="4"/>
  <c r="G23" i="4"/>
  <c r="J23" i="4"/>
  <c r="M8" i="4"/>
  <c r="J8" i="4"/>
  <c r="D8" i="4"/>
  <c r="G8" i="4"/>
  <c r="AM41" i="3"/>
  <c r="E10" i="8"/>
  <c r="D10" i="8" s="1"/>
  <c r="J19" i="2"/>
  <c r="G19" i="2"/>
  <c r="D19" i="2"/>
  <c r="J12" i="2"/>
  <c r="G12" i="2"/>
  <c r="D12" i="2"/>
  <c r="D15" i="10"/>
  <c r="J147" i="10"/>
  <c r="J128" i="10"/>
  <c r="J109" i="10"/>
  <c r="J90" i="10"/>
  <c r="J70" i="10"/>
  <c r="J51" i="10"/>
  <c r="J32" i="10"/>
  <c r="J14" i="10"/>
  <c r="D14" i="10"/>
  <c r="D18" i="10"/>
  <c r="D19" i="10"/>
  <c r="J18" i="10"/>
  <c r="D10" i="10"/>
  <c r="D11" i="10"/>
  <c r="M22" i="4"/>
  <c r="M21" i="4"/>
  <c r="J22" i="4"/>
  <c r="J21" i="4"/>
  <c r="G22" i="4"/>
  <c r="G21" i="4"/>
  <c r="D22" i="4"/>
  <c r="D21" i="4"/>
  <c r="D16" i="4"/>
  <c r="D15" i="4"/>
  <c r="D14" i="4"/>
  <c r="G16" i="4"/>
  <c r="G15" i="4"/>
  <c r="G14" i="4"/>
  <c r="J16" i="4"/>
  <c r="J15" i="4"/>
  <c r="J14" i="4"/>
  <c r="M16" i="4"/>
  <c r="M14" i="4"/>
  <c r="M7" i="4"/>
  <c r="M6" i="4"/>
  <c r="J7" i="4"/>
  <c r="J6" i="4"/>
  <c r="G7" i="4"/>
  <c r="G6" i="4"/>
  <c r="D7" i="4"/>
  <c r="D6" i="4"/>
  <c r="D17" i="4"/>
  <c r="G17" i="4"/>
  <c r="J17" i="4"/>
  <c r="M17" i="4"/>
  <c r="M9" i="4"/>
  <c r="J9" i="4"/>
  <c r="G9" i="4"/>
  <c r="D9" i="4"/>
  <c r="D148" i="10"/>
  <c r="D147" i="10"/>
  <c r="D129" i="10"/>
  <c r="D128" i="10"/>
  <c r="D110" i="10"/>
  <c r="D109" i="10"/>
  <c r="D91" i="10"/>
  <c r="D90" i="10"/>
  <c r="D71" i="10"/>
  <c r="D70" i="10"/>
  <c r="D33" i="10"/>
  <c r="D32" i="10"/>
  <c r="D52" i="10"/>
  <c r="D51" i="10"/>
  <c r="D47" i="10"/>
  <c r="D42" i="8"/>
  <c r="F42" i="8"/>
  <c r="I42" i="8"/>
  <c r="K42" i="8"/>
  <c r="C43" i="8"/>
  <c r="E43" i="8"/>
  <c r="H43" i="8"/>
  <c r="J43" i="8"/>
  <c r="B44" i="8"/>
  <c r="B191" i="6"/>
  <c r="D43" i="5"/>
  <c r="AB79" i="22"/>
  <c r="AI79" i="22" s="1"/>
  <c r="J79" i="22" s="1"/>
  <c r="J80" i="22"/>
  <c r="J75" i="22" s="1"/>
  <c r="H80" i="22"/>
  <c r="E80" i="22"/>
  <c r="E75" i="22" s="1"/>
  <c r="C80" i="22"/>
  <c r="H75" i="22" s="1"/>
  <c r="J78" i="22"/>
  <c r="H78" i="22"/>
  <c r="E78" i="22"/>
  <c r="C78" i="22"/>
  <c r="D77" i="22"/>
  <c r="J76" i="22"/>
  <c r="H76" i="22"/>
  <c r="E76" i="22"/>
  <c r="C76" i="22"/>
  <c r="AB95" i="22"/>
  <c r="AD95" i="22" s="1"/>
  <c r="AB102" i="22"/>
  <c r="AD102" i="22" s="1"/>
  <c r="AD53" i="24"/>
  <c r="AD59" i="24"/>
  <c r="AD50" i="24"/>
  <c r="AD56" i="24"/>
  <c r="D39" i="24"/>
  <c r="D41" i="24"/>
  <c r="AC59" i="24"/>
  <c r="AC56" i="24"/>
  <c r="AC53" i="24"/>
  <c r="AC50" i="24"/>
  <c r="AD37" i="24"/>
  <c r="AD38" i="24" s="1"/>
  <c r="D38" i="24" s="1"/>
  <c r="F31" i="24"/>
  <c r="E27" i="24"/>
  <c r="E28" i="24" s="1"/>
  <c r="E31" i="24" s="1"/>
  <c r="F32" i="24" s="1"/>
  <c r="C21" i="24"/>
  <c r="C22" i="24"/>
  <c r="C23" i="24"/>
  <c r="G20" i="24"/>
  <c r="G21" i="24"/>
  <c r="G22" i="24"/>
  <c r="G19" i="24"/>
  <c r="G23" i="24"/>
  <c r="F23" i="24"/>
  <c r="F20" i="24"/>
  <c r="F21" i="24"/>
  <c r="F22" i="24"/>
  <c r="F19" i="24"/>
  <c r="D48" i="9" l="1"/>
  <c r="E48" i="9" s="1"/>
  <c r="I121" i="10"/>
  <c r="H121" i="10"/>
  <c r="C75" i="22"/>
  <c r="B15" i="3"/>
  <c r="E63" i="10"/>
  <c r="B26" i="12" a="1"/>
  <c r="B26" i="12" s="1"/>
  <c r="AD79" i="22"/>
  <c r="AG79" i="22" s="1"/>
  <c r="AG77" i="22" s="1"/>
  <c r="C79" i="22"/>
  <c r="B31" i="3"/>
  <c r="B47" i="3"/>
  <c r="B23" i="3"/>
  <c r="C43" i="3"/>
  <c r="D19" i="8"/>
  <c r="B45" i="8"/>
  <c r="B39" i="3"/>
  <c r="E79" i="22"/>
  <c r="AI77" i="22"/>
  <c r="J77" i="22" s="1"/>
  <c r="AG95" i="22"/>
  <c r="AG93" i="22" s="1"/>
  <c r="AD93" i="22"/>
  <c r="AG102" i="22"/>
  <c r="AD100" i="22"/>
  <c r="G59" i="24"/>
  <c r="B60" i="24" s="1"/>
  <c r="G50" i="24"/>
  <c r="B51" i="24" s="1"/>
  <c r="D37" i="24"/>
  <c r="G56" i="24"/>
  <c r="B57" i="24" s="1"/>
  <c r="G53" i="24"/>
  <c r="B54" i="24" s="1"/>
  <c r="AD40" i="24"/>
  <c r="D40" i="24" s="1"/>
  <c r="E32" i="24"/>
  <c r="H32" i="24"/>
  <c r="F28" i="24"/>
  <c r="F179" i="6"/>
  <c r="B158" i="6"/>
  <c r="B125" i="6"/>
  <c r="AD216" i="6"/>
  <c r="D216" i="6" s="1"/>
  <c r="C211" i="6"/>
  <c r="C206" i="6"/>
  <c r="H202" i="6"/>
  <c r="F211" i="6" s="1"/>
  <c r="G202" i="6"/>
  <c r="E211" i="6" s="1"/>
  <c r="D202" i="6"/>
  <c r="F206" i="6" s="1"/>
  <c r="C202" i="6"/>
  <c r="E206" i="6" s="1"/>
  <c r="F199" i="6"/>
  <c r="B199" i="6"/>
  <c r="AE197" i="6"/>
  <c r="AC213" i="6" s="1"/>
  <c r="AB197" i="6"/>
  <c r="AC208" i="6" s="1"/>
  <c r="F197" i="6"/>
  <c r="B197" i="6"/>
  <c r="H196" i="6"/>
  <c r="F196" i="6"/>
  <c r="D196" i="6"/>
  <c r="B196" i="6"/>
  <c r="H195" i="6"/>
  <c r="F195" i="6"/>
  <c r="D195" i="6"/>
  <c r="B195" i="6"/>
  <c r="F193" i="6"/>
  <c r="B193" i="6"/>
  <c r="AD183" i="6"/>
  <c r="D183" i="6" s="1"/>
  <c r="C178" i="6"/>
  <c r="C173" i="6"/>
  <c r="H169" i="6"/>
  <c r="G169" i="6"/>
  <c r="D169" i="6"/>
  <c r="C169" i="6"/>
  <c r="F166" i="6"/>
  <c r="B166" i="6"/>
  <c r="AE164" i="6"/>
  <c r="AD180" i="6" s="1"/>
  <c r="AB164" i="6"/>
  <c r="AD175" i="6" s="1"/>
  <c r="F164" i="6"/>
  <c r="B164" i="6"/>
  <c r="H163" i="6"/>
  <c r="F163" i="6"/>
  <c r="D163" i="6"/>
  <c r="B163" i="6"/>
  <c r="H162" i="6"/>
  <c r="F162" i="6"/>
  <c r="D162" i="6"/>
  <c r="B162" i="6"/>
  <c r="F160" i="6"/>
  <c r="B160" i="6"/>
  <c r="AD150" i="6"/>
  <c r="D150" i="6" s="1"/>
  <c r="B64" i="6"/>
  <c r="B34" i="6"/>
  <c r="F127" i="6"/>
  <c r="B127" i="6"/>
  <c r="C145" i="6"/>
  <c r="C140" i="6"/>
  <c r="H136" i="6"/>
  <c r="F133" i="6"/>
  <c r="B133" i="6"/>
  <c r="AB131" i="6"/>
  <c r="D131" i="6" s="1"/>
  <c r="C141" i="6" s="1"/>
  <c r="AE131" i="6"/>
  <c r="H131" i="6" s="1"/>
  <c r="C146" i="6" s="1"/>
  <c r="G147" i="6" s="1"/>
  <c r="H130" i="6"/>
  <c r="H129" i="6"/>
  <c r="F131" i="6"/>
  <c r="F130" i="6"/>
  <c r="F129" i="6"/>
  <c r="B129" i="6"/>
  <c r="B130" i="6"/>
  <c r="G136" i="6"/>
  <c r="D136" i="6"/>
  <c r="C136" i="6"/>
  <c r="B131" i="6"/>
  <c r="D130" i="6"/>
  <c r="D129" i="6"/>
  <c r="E120" i="6"/>
  <c r="F116" i="6"/>
  <c r="E116" i="6"/>
  <c r="C113" i="6"/>
  <c r="D109" i="6"/>
  <c r="F113" i="6" s="1"/>
  <c r="C109" i="6"/>
  <c r="E113" i="6" s="1"/>
  <c r="E108" i="6"/>
  <c r="B106" i="6"/>
  <c r="B104" i="6"/>
  <c r="D103" i="6"/>
  <c r="B102" i="6"/>
  <c r="AD100" i="6"/>
  <c r="AC115" i="6" s="1"/>
  <c r="AC119" i="6" s="1"/>
  <c r="D120" i="6" s="1"/>
  <c r="B100" i="6"/>
  <c r="D99" i="6"/>
  <c r="B99" i="6"/>
  <c r="D98" i="6"/>
  <c r="B98" i="6"/>
  <c r="B96" i="6"/>
  <c r="AD70" i="6"/>
  <c r="AD74" i="6" s="1"/>
  <c r="D74" i="6" s="1"/>
  <c r="E90" i="6"/>
  <c r="C90" i="6"/>
  <c r="F86" i="6"/>
  <c r="E86" i="6"/>
  <c r="C83" i="6"/>
  <c r="D79" i="6"/>
  <c r="E79" i="6" s="1"/>
  <c r="C79" i="6"/>
  <c r="E78" i="6"/>
  <c r="B76" i="6"/>
  <c r="B74" i="6"/>
  <c r="D73" i="6"/>
  <c r="B72" i="6"/>
  <c r="B70" i="6"/>
  <c r="D69" i="6"/>
  <c r="B69" i="6"/>
  <c r="D68" i="6"/>
  <c r="B68" i="6"/>
  <c r="B66" i="6"/>
  <c r="B29" i="6"/>
  <c r="B28" i="6"/>
  <c r="B27" i="6"/>
  <c r="B26" i="6"/>
  <c r="AB27" i="6"/>
  <c r="AB29" i="6" s="1"/>
  <c r="D29" i="6" s="1"/>
  <c r="D18" i="6"/>
  <c r="D20" i="6"/>
  <c r="AB19" i="6"/>
  <c r="AB21" i="6" s="1"/>
  <c r="D21" i="6" s="1"/>
  <c r="D17" i="6"/>
  <c r="D28" i="6"/>
  <c r="D26" i="6"/>
  <c r="D25" i="6"/>
  <c r="B18" i="6"/>
  <c r="B19" i="6"/>
  <c r="B20" i="6"/>
  <c r="B21" i="6"/>
  <c r="B36" i="6"/>
  <c r="AD77" i="22" l="1"/>
  <c r="E77" i="22" s="1"/>
  <c r="AC186" i="6"/>
  <c r="E83" i="6"/>
  <c r="D88" i="6" a="1"/>
  <c r="D88" i="6" s="1"/>
  <c r="H197" i="6"/>
  <c r="C212" i="6" s="1"/>
  <c r="G213" i="6" s="1"/>
  <c r="D197" i="6"/>
  <c r="C207" i="6" s="1"/>
  <c r="D100" i="6"/>
  <c r="C114" i="6" s="1"/>
  <c r="E145" i="6"/>
  <c r="E140" i="6"/>
  <c r="AC147" i="6"/>
  <c r="E148" i="6" s="1"/>
  <c r="E178" i="6"/>
  <c r="F145" i="6"/>
  <c r="F178" i="6"/>
  <c r="AD208" i="6"/>
  <c r="AD213" i="6" s="1"/>
  <c r="F214" i="6" s="1"/>
  <c r="H77" i="22"/>
  <c r="H79" i="22"/>
  <c r="AG100" i="22"/>
  <c r="AD42" i="24"/>
  <c r="H28" i="24"/>
  <c r="F173" i="6"/>
  <c r="E173" i="6"/>
  <c r="E209" i="6"/>
  <c r="AA219" i="6"/>
  <c r="C220" i="6" s="1"/>
  <c r="E214" i="6"/>
  <c r="AC219" i="6"/>
  <c r="D220" i="6" s="1"/>
  <c r="F176" i="6"/>
  <c r="D164" i="6"/>
  <c r="C174" i="6" s="1"/>
  <c r="H164" i="6"/>
  <c r="C179" i="6" s="1"/>
  <c r="G180" i="6" s="1"/>
  <c r="AC175" i="6"/>
  <c r="AC180" i="6" s="1"/>
  <c r="AA186" i="6" s="1"/>
  <c r="AD115" i="6"/>
  <c r="AD119" i="6" s="1"/>
  <c r="D70" i="6"/>
  <c r="C84" i="6" s="1"/>
  <c r="F140" i="6"/>
  <c r="AC142" i="6"/>
  <c r="AD142" i="6"/>
  <c r="AD104" i="6"/>
  <c r="D104" i="6" s="1"/>
  <c r="AD85" i="6"/>
  <c r="AD89" i="6" s="1"/>
  <c r="AC85" i="6"/>
  <c r="AC89" i="6" s="1"/>
  <c r="C118" i="6" a="1"/>
  <c r="C118" i="6" s="1"/>
  <c r="E109" i="6"/>
  <c r="D118" i="6" a="1"/>
  <c r="D118" i="6" s="1"/>
  <c r="E118" i="6" a="1"/>
  <c r="E118" i="6" s="1"/>
  <c r="F83" i="6"/>
  <c r="C88" i="6" a="1"/>
  <c r="C88" i="6" s="1"/>
  <c r="E88" i="6" a="1"/>
  <c r="E88" i="6" s="1"/>
  <c r="D19" i="6"/>
  <c r="D27" i="6"/>
  <c r="B13" i="6"/>
  <c r="AB11" i="6"/>
  <c r="AB13" i="6" s="1"/>
  <c r="D13" i="6" s="1"/>
  <c r="D10" i="6"/>
  <c r="D12" i="6"/>
  <c r="D9" i="6"/>
  <c r="I117" i="17"/>
  <c r="K117" i="17" s="1"/>
  <c r="I116" i="17"/>
  <c r="K116" i="17" s="1"/>
  <c r="I115" i="17"/>
  <c r="K115" i="17" s="1"/>
  <c r="I114" i="17"/>
  <c r="K114" i="17" s="1"/>
  <c r="I113" i="17"/>
  <c r="K113" i="17" s="1"/>
  <c r="I112" i="17"/>
  <c r="K112" i="17" s="1"/>
  <c r="I111" i="17"/>
  <c r="K111" i="17" s="1"/>
  <c r="I110" i="17"/>
  <c r="K110" i="17" s="1"/>
  <c r="I109" i="17"/>
  <c r="K109" i="17" s="1"/>
  <c r="I108" i="17"/>
  <c r="K108" i="17" s="1"/>
  <c r="I103" i="17"/>
  <c r="K103" i="17" s="1"/>
  <c r="I102" i="17"/>
  <c r="K102" i="17" s="1"/>
  <c r="K101" i="17"/>
  <c r="I100" i="17"/>
  <c r="K100" i="17" s="1"/>
  <c r="I99" i="17"/>
  <c r="K99" i="17" s="1"/>
  <c r="I98" i="17"/>
  <c r="K98" i="17" s="1"/>
  <c r="I97" i="17"/>
  <c r="K97" i="17" s="1"/>
  <c r="I96" i="17"/>
  <c r="K96" i="17" s="1"/>
  <c r="I95" i="17"/>
  <c r="K95" i="17" s="1"/>
  <c r="I94" i="17"/>
  <c r="K94" i="17" s="1"/>
  <c r="I89" i="17"/>
  <c r="K89" i="17" s="1"/>
  <c r="I88" i="17"/>
  <c r="K88" i="17" s="1"/>
  <c r="I87" i="17"/>
  <c r="K87" i="17" s="1"/>
  <c r="I86" i="17"/>
  <c r="K86" i="17" s="1"/>
  <c r="I85" i="17"/>
  <c r="K85" i="17" s="1"/>
  <c r="I84" i="17"/>
  <c r="K84" i="17" s="1"/>
  <c r="I83" i="17"/>
  <c r="K83" i="17" s="1"/>
  <c r="I82" i="17"/>
  <c r="K82" i="17" s="1"/>
  <c r="I81" i="17"/>
  <c r="K81" i="17" s="1"/>
  <c r="I80" i="17"/>
  <c r="K80" i="17" s="1"/>
  <c r="I75" i="17"/>
  <c r="K75" i="17" s="1"/>
  <c r="I74" i="17"/>
  <c r="K74" i="17" s="1"/>
  <c r="I73" i="17"/>
  <c r="K73" i="17" s="1"/>
  <c r="I72" i="17"/>
  <c r="K72" i="17" s="1"/>
  <c r="I71" i="17"/>
  <c r="K71" i="17" s="1"/>
  <c r="I70" i="17"/>
  <c r="K70" i="17" s="1"/>
  <c r="I69" i="17"/>
  <c r="K69" i="17" s="1"/>
  <c r="I68" i="17"/>
  <c r="K68" i="17" s="1"/>
  <c r="I67" i="17"/>
  <c r="K67" i="17" s="1"/>
  <c r="I66" i="17"/>
  <c r="K66" i="17" s="1"/>
  <c r="I61" i="17"/>
  <c r="K61" i="17" s="1"/>
  <c r="I60" i="17"/>
  <c r="K60" i="17" s="1"/>
  <c r="I59" i="17"/>
  <c r="K59" i="17" s="1"/>
  <c r="I58" i="17"/>
  <c r="K58" i="17" s="1"/>
  <c r="I57" i="17"/>
  <c r="K57" i="17" s="1"/>
  <c r="I56" i="17"/>
  <c r="K56" i="17" s="1"/>
  <c r="I55" i="17"/>
  <c r="K55" i="17" s="1"/>
  <c r="I54" i="17"/>
  <c r="K54" i="17" s="1"/>
  <c r="I53" i="17"/>
  <c r="K53" i="17" s="1"/>
  <c r="I52" i="17"/>
  <c r="K52" i="17" s="1"/>
  <c r="I47" i="17"/>
  <c r="K47" i="17" s="1"/>
  <c r="I46" i="17"/>
  <c r="K46" i="17" s="1"/>
  <c r="I45" i="17"/>
  <c r="K45" i="17" s="1"/>
  <c r="I44" i="17"/>
  <c r="K44" i="17" s="1"/>
  <c r="I43" i="17"/>
  <c r="K43" i="17" s="1"/>
  <c r="I42" i="17"/>
  <c r="K42" i="17" s="1"/>
  <c r="I41" i="17"/>
  <c r="K41" i="17" s="1"/>
  <c r="I40" i="17"/>
  <c r="K40" i="17" s="1"/>
  <c r="I39" i="17"/>
  <c r="K39" i="17" s="1"/>
  <c r="I38" i="17"/>
  <c r="K38" i="17" s="1"/>
  <c r="I33" i="17"/>
  <c r="K33" i="17" s="1"/>
  <c r="I32" i="17"/>
  <c r="K32" i="17" s="1"/>
  <c r="I31" i="17"/>
  <c r="K31" i="17" s="1"/>
  <c r="I30" i="17"/>
  <c r="K30" i="17" s="1"/>
  <c r="I29" i="17"/>
  <c r="K29" i="17" s="1"/>
  <c r="I28" i="17"/>
  <c r="K28" i="17" s="1"/>
  <c r="I27" i="17"/>
  <c r="K27" i="17" s="1"/>
  <c r="I26" i="17"/>
  <c r="K26" i="17" s="1"/>
  <c r="I25" i="17"/>
  <c r="K25" i="17" s="1"/>
  <c r="I24" i="17"/>
  <c r="K24" i="17" s="1"/>
  <c r="I11" i="17"/>
  <c r="K11" i="17" s="1"/>
  <c r="I12" i="17"/>
  <c r="K12" i="17" s="1"/>
  <c r="I13" i="17"/>
  <c r="K13" i="17" s="1"/>
  <c r="I14" i="17"/>
  <c r="K14" i="17" s="1"/>
  <c r="I15" i="17"/>
  <c r="K15" i="17" s="1"/>
  <c r="I16" i="17"/>
  <c r="K16" i="17" s="1"/>
  <c r="I17" i="17"/>
  <c r="K17" i="17" s="1"/>
  <c r="I18" i="17"/>
  <c r="K18" i="17" s="1"/>
  <c r="I19" i="17"/>
  <c r="K19" i="17" s="1"/>
  <c r="I10" i="17"/>
  <c r="K10" i="17" s="1"/>
  <c r="B11" i="6"/>
  <c r="B10" i="6"/>
  <c r="B9" i="6"/>
  <c r="E48" i="6"/>
  <c r="B46" i="6"/>
  <c r="C53" i="6"/>
  <c r="B42" i="6"/>
  <c r="B44" i="6"/>
  <c r="B38" i="6"/>
  <c r="B40" i="6"/>
  <c r="B39" i="6"/>
  <c r="C60" i="6"/>
  <c r="F56" i="6"/>
  <c r="E56" i="6"/>
  <c r="D49" i="6"/>
  <c r="E49" i="6" s="1"/>
  <c r="C49" i="6"/>
  <c r="D43" i="6"/>
  <c r="AD40" i="6"/>
  <c r="AD55" i="6" s="1"/>
  <c r="AD59" i="6" s="1"/>
  <c r="E60" i="6" s="1"/>
  <c r="D39" i="6"/>
  <c r="D38" i="6"/>
  <c r="AC153" i="6" l="1"/>
  <c r="D154" i="6" s="1"/>
  <c r="E181" i="6"/>
  <c r="E143" i="6"/>
  <c r="AA153" i="6"/>
  <c r="C154" i="6" s="1"/>
  <c r="D42" i="24"/>
  <c r="AD46" i="24"/>
  <c r="D46" i="24" s="1"/>
  <c r="AD219" i="6"/>
  <c r="E220" i="6" s="1"/>
  <c r="F209" i="6"/>
  <c r="F212" i="6" s="1"/>
  <c r="AK75" i="22" a="1"/>
  <c r="AK75" i="22" s="1"/>
  <c r="F74" i="22" s="1"/>
  <c r="D218" i="6" a="1"/>
  <c r="D218" i="6" s="1"/>
  <c r="E218" i="6" a="1"/>
  <c r="E218" i="6" s="1"/>
  <c r="E176" i="6"/>
  <c r="C185" i="6" s="1" a="1"/>
  <c r="C185" i="6" s="1"/>
  <c r="F181" i="6"/>
  <c r="AD186" i="6"/>
  <c r="E187" i="6" s="1"/>
  <c r="F143" i="6"/>
  <c r="F146" i="6" s="1"/>
  <c r="AD147" i="6"/>
  <c r="D11" i="6"/>
  <c r="C58" i="6" a="1"/>
  <c r="C58" i="6" s="1"/>
  <c r="D58" i="6" a="1"/>
  <c r="D58" i="6" s="1"/>
  <c r="E58" i="6" a="1"/>
  <c r="E58" i="6" s="1"/>
  <c r="E53" i="6"/>
  <c r="D40" i="6"/>
  <c r="C54" i="6" s="1"/>
  <c r="F53" i="6"/>
  <c r="AD44" i="6"/>
  <c r="D44" i="6" s="1"/>
  <c r="AC55" i="6"/>
  <c r="AC59" i="6" s="1"/>
  <c r="D60" i="6" s="1"/>
  <c r="K107" i="17" a="1"/>
  <c r="K107" i="17" s="1"/>
  <c r="K93" i="17" a="1"/>
  <c r="K93" i="17" s="1"/>
  <c r="K79" i="17" a="1"/>
  <c r="K79" i="17" s="1"/>
  <c r="K65" i="17" a="1"/>
  <c r="K65" i="17" s="1"/>
  <c r="K51" i="17" a="1"/>
  <c r="K51" i="17" s="1"/>
  <c r="K37" i="17" a="1"/>
  <c r="K37" i="17" s="1"/>
  <c r="K23" i="17" a="1"/>
  <c r="K23" i="17" s="1"/>
  <c r="K9" i="17" a="1"/>
  <c r="K9" i="17" s="1"/>
  <c r="D185" i="6" l="1" a="1"/>
  <c r="D185" i="6" s="1"/>
  <c r="C152" i="6" a="1"/>
  <c r="C152" i="6" s="1"/>
  <c r="C218" i="6" a="1"/>
  <c r="C218" i="6" s="1"/>
  <c r="F148" i="6"/>
  <c r="D152" i="6" s="1" a="1"/>
  <c r="D152" i="6" s="1"/>
  <c r="AD153" i="6"/>
  <c r="E154" i="6" s="1"/>
  <c r="E185" i="6" a="1"/>
  <c r="E185" i="6" s="1"/>
  <c r="H74" i="22"/>
  <c r="J74" i="22"/>
  <c r="C74" i="22"/>
  <c r="K74" i="22"/>
  <c r="I74" i="22"/>
  <c r="G74" i="22"/>
  <c r="D74" i="22"/>
  <c r="E74" i="22"/>
  <c r="AK76" i="22"/>
  <c r="AK77" i="22" s="1"/>
  <c r="AK78" i="22" s="1"/>
  <c r="B74" i="22"/>
  <c r="E46" i="24"/>
  <c r="E179" i="6"/>
  <c r="AD52" i="22"/>
  <c r="E52" i="22" s="1"/>
  <c r="D51" i="22"/>
  <c r="C10" i="22"/>
  <c r="C37" i="22"/>
  <c r="H41" i="22"/>
  <c r="H36" i="22" s="1"/>
  <c r="E41" i="22"/>
  <c r="F36" i="22" s="1"/>
  <c r="C41" i="22"/>
  <c r="C36" i="22" s="1"/>
  <c r="AB40" i="22"/>
  <c r="AE40" i="22" s="1"/>
  <c r="H39" i="22"/>
  <c r="E39" i="22"/>
  <c r="C39" i="22"/>
  <c r="D38" i="22"/>
  <c r="H37" i="22"/>
  <c r="F37" i="22"/>
  <c r="J67" i="22"/>
  <c r="J62" i="22" s="1"/>
  <c r="H67" i="22"/>
  <c r="E67" i="22"/>
  <c r="E62" i="22" s="1"/>
  <c r="C67" i="22"/>
  <c r="AB66" i="22"/>
  <c r="AD66" i="22" s="1"/>
  <c r="J65" i="22"/>
  <c r="H65" i="22"/>
  <c r="E65" i="22"/>
  <c r="C65" i="22"/>
  <c r="D64" i="22"/>
  <c r="J63" i="22"/>
  <c r="H63" i="22"/>
  <c r="E63" i="22"/>
  <c r="C63" i="22"/>
  <c r="J54" i="22"/>
  <c r="J49" i="22" s="1"/>
  <c r="H54" i="22"/>
  <c r="E54" i="22"/>
  <c r="E49" i="22" s="1"/>
  <c r="C54" i="22"/>
  <c r="H49" i="22" s="1"/>
  <c r="AB53" i="22"/>
  <c r="AD53" i="22" s="1"/>
  <c r="J52" i="22"/>
  <c r="H52" i="22"/>
  <c r="C52" i="22"/>
  <c r="J50" i="22"/>
  <c r="H50" i="22"/>
  <c r="E50" i="22"/>
  <c r="C50" i="22"/>
  <c r="J25" i="22"/>
  <c r="J27" i="22"/>
  <c r="J22" i="22" s="1"/>
  <c r="J23" i="22"/>
  <c r="H10" i="22"/>
  <c r="E10" i="22"/>
  <c r="H23" i="22"/>
  <c r="E23" i="22"/>
  <c r="C23" i="22"/>
  <c r="H27" i="22"/>
  <c r="E27" i="22"/>
  <c r="E22" i="22" s="1"/>
  <c r="C27" i="22"/>
  <c r="H22" i="22" s="1"/>
  <c r="AB26" i="22"/>
  <c r="AD26" i="22" s="1"/>
  <c r="E26" i="22" s="1"/>
  <c r="H25" i="22"/>
  <c r="E25" i="22"/>
  <c r="C25" i="22"/>
  <c r="D24" i="22"/>
  <c r="H14" i="22"/>
  <c r="H9" i="22" s="1"/>
  <c r="E14" i="22"/>
  <c r="E9" i="22" s="1"/>
  <c r="C12" i="22"/>
  <c r="C14" i="22"/>
  <c r="C9" i="22" s="1"/>
  <c r="E12" i="22"/>
  <c r="H12" i="22"/>
  <c r="C40" i="22" l="1"/>
  <c r="E152" i="6" a="1"/>
  <c r="E152" i="6" s="1"/>
  <c r="G76" i="22"/>
  <c r="G77" i="22"/>
  <c r="AK79" i="22"/>
  <c r="C62" i="22"/>
  <c r="H62" i="22"/>
  <c r="C49" i="22"/>
  <c r="C53" i="22"/>
  <c r="AI53" i="22"/>
  <c r="J53" i="22" s="1"/>
  <c r="C66" i="22"/>
  <c r="AI66" i="22"/>
  <c r="J66" i="22" s="1"/>
  <c r="C26" i="22"/>
  <c r="AE38" i="22"/>
  <c r="E38" i="22" s="1"/>
  <c r="AG40" i="22"/>
  <c r="E40" i="22"/>
  <c r="E66" i="22"/>
  <c r="AG66" i="22"/>
  <c r="AD64" i="22"/>
  <c r="E64" i="22" s="1"/>
  <c r="AD51" i="22"/>
  <c r="E51" i="22" s="1"/>
  <c r="E53" i="22"/>
  <c r="AG53" i="22"/>
  <c r="AI26" i="22"/>
  <c r="C22" i="22"/>
  <c r="AD24" i="22"/>
  <c r="E24" i="22" s="1"/>
  <c r="AG26" i="22"/>
  <c r="AB13" i="22"/>
  <c r="D11" i="22"/>
  <c r="H8" i="9"/>
  <c r="D45" i="5"/>
  <c r="D46" i="5"/>
  <c r="D44" i="5"/>
  <c r="D13" i="5"/>
  <c r="D14" i="5"/>
  <c r="D6" i="5"/>
  <c r="D39" i="5"/>
  <c r="D38" i="5"/>
  <c r="D37" i="5"/>
  <c r="D36" i="5"/>
  <c r="E35" i="5" s="1"/>
  <c r="E32" i="5"/>
  <c r="E31" i="5"/>
  <c r="E30" i="5"/>
  <c r="E29" i="5"/>
  <c r="E28" i="5"/>
  <c r="D7" i="5"/>
  <c r="D8" i="5"/>
  <c r="D9" i="5"/>
  <c r="D10" i="5"/>
  <c r="D11" i="5"/>
  <c r="D12" i="5"/>
  <c r="D15" i="5"/>
  <c r="D16" i="5"/>
  <c r="D17" i="5"/>
  <c r="D18" i="5"/>
  <c r="D19" i="5"/>
  <c r="D20" i="5"/>
  <c r="D21" i="5"/>
  <c r="D30" i="7"/>
  <c r="D24" i="7"/>
  <c r="D25" i="7"/>
  <c r="D26" i="7"/>
  <c r="D27" i="7"/>
  <c r="D28" i="7"/>
  <c r="D29" i="7"/>
  <c r="D22" i="7"/>
  <c r="D23" i="7"/>
  <c r="AH43" i="11"/>
  <c r="AI44" i="11"/>
  <c r="AC43" i="11"/>
  <c r="AC46" i="11" s="1"/>
  <c r="AC45" i="11" s="1"/>
  <c r="AE46" i="11"/>
  <c r="AK46" i="11" s="1"/>
  <c r="AD45" i="11"/>
  <c r="AJ45" i="11" s="1"/>
  <c r="AB46" i="11"/>
  <c r="AB45" i="11" s="1"/>
  <c r="AB44" i="11" s="1"/>
  <c r="AA43" i="11"/>
  <c r="AA46" i="11" s="1"/>
  <c r="AA16" i="11"/>
  <c r="AB10" i="11"/>
  <c r="AB9" i="11"/>
  <c r="AD9" i="11" s="1"/>
  <c r="D9" i="11" s="1"/>
  <c r="AD29" i="11"/>
  <c r="D29" i="11" s="1"/>
  <c r="AD22" i="11"/>
  <c r="D22" i="11" s="1"/>
  <c r="AD36" i="11"/>
  <c r="D36" i="11" s="1"/>
  <c r="AD31" i="12"/>
  <c r="AD51" i="12"/>
  <c r="D51" i="12" s="1"/>
  <c r="AB38" i="12"/>
  <c r="AB45" i="12" s="1"/>
  <c r="AD44" i="12"/>
  <c r="D44" i="12" s="1"/>
  <c r="AD37" i="12"/>
  <c r="D37" i="12" s="1"/>
  <c r="C8" i="1"/>
  <c r="E23" i="12"/>
  <c r="E22" i="12"/>
  <c r="I7" i="12"/>
  <c r="I8" i="12"/>
  <c r="I9" i="12"/>
  <c r="I10" i="12"/>
  <c r="I11" i="12"/>
  <c r="I12" i="12"/>
  <c r="I13" i="12"/>
  <c r="I6" i="12"/>
  <c r="D7" i="12"/>
  <c r="D8" i="12"/>
  <c r="D9" i="12"/>
  <c r="D10" i="12"/>
  <c r="D11" i="12"/>
  <c r="D12" i="12"/>
  <c r="D13" i="12"/>
  <c r="D6" i="12"/>
  <c r="G7" i="12"/>
  <c r="F7" i="12" s="1"/>
  <c r="G8" i="12"/>
  <c r="F8" i="12" s="1"/>
  <c r="G9" i="12"/>
  <c r="F9" i="12" s="1"/>
  <c r="G10" i="12"/>
  <c r="F10" i="12" s="1"/>
  <c r="G11" i="12"/>
  <c r="F11" i="12" s="1"/>
  <c r="G12" i="12"/>
  <c r="F12" i="12" s="1"/>
  <c r="G13" i="12"/>
  <c r="F13" i="12" s="1"/>
  <c r="G6" i="12"/>
  <c r="F6" i="12" s="1"/>
  <c r="G15" i="8"/>
  <c r="D16" i="8"/>
  <c r="E325" i="8"/>
  <c r="E88" i="8"/>
  <c r="E319" i="8"/>
  <c r="E324" i="8"/>
  <c r="J319" i="8"/>
  <c r="J318" i="8"/>
  <c r="J317" i="8"/>
  <c r="J297" i="8"/>
  <c r="J296" i="8"/>
  <c r="J295" i="8"/>
  <c r="J275" i="8"/>
  <c r="J274" i="8"/>
  <c r="J273" i="8"/>
  <c r="J253" i="8"/>
  <c r="J252" i="8"/>
  <c r="J251" i="8"/>
  <c r="J231" i="8"/>
  <c r="J230" i="8"/>
  <c r="J229" i="8"/>
  <c r="J209" i="8"/>
  <c r="J208" i="8"/>
  <c r="J207" i="8"/>
  <c r="J187" i="8"/>
  <c r="J186" i="8"/>
  <c r="J185" i="8"/>
  <c r="J165" i="8"/>
  <c r="J164" i="8"/>
  <c r="J163" i="8"/>
  <c r="J143" i="8"/>
  <c r="J142" i="8"/>
  <c r="J141" i="8"/>
  <c r="J121" i="8"/>
  <c r="J120" i="8"/>
  <c r="J119" i="8"/>
  <c r="J99" i="8"/>
  <c r="J98" i="8"/>
  <c r="J97" i="8"/>
  <c r="J77" i="8"/>
  <c r="J76" i="8"/>
  <c r="J75" i="8"/>
  <c r="J55" i="8"/>
  <c r="J54" i="8"/>
  <c r="J53" i="8"/>
  <c r="J31" i="8"/>
  <c r="J32" i="8"/>
  <c r="J30" i="8"/>
  <c r="E318" i="8"/>
  <c r="E317" i="8"/>
  <c r="E297" i="8"/>
  <c r="E296" i="8"/>
  <c r="E295" i="8"/>
  <c r="E275" i="8"/>
  <c r="E274" i="8"/>
  <c r="E273" i="8"/>
  <c r="E253" i="8"/>
  <c r="E252" i="8"/>
  <c r="E251" i="8"/>
  <c r="E231" i="8"/>
  <c r="E230" i="8"/>
  <c r="E229" i="8"/>
  <c r="E209" i="8"/>
  <c r="E208" i="8"/>
  <c r="E207" i="8"/>
  <c r="E187" i="8"/>
  <c r="E186" i="8"/>
  <c r="E185" i="8"/>
  <c r="E165" i="8"/>
  <c r="E164" i="8"/>
  <c r="E163" i="8"/>
  <c r="E143" i="8"/>
  <c r="E142" i="8"/>
  <c r="E141" i="8"/>
  <c r="E121" i="8"/>
  <c r="E120" i="8"/>
  <c r="E119" i="8"/>
  <c r="E99" i="8"/>
  <c r="E98" i="8"/>
  <c r="E97" i="8"/>
  <c r="E77" i="8"/>
  <c r="E76" i="8"/>
  <c r="E75" i="8"/>
  <c r="E55" i="8"/>
  <c r="E54" i="8"/>
  <c r="E53" i="8"/>
  <c r="E32" i="8"/>
  <c r="E31" i="8"/>
  <c r="D31" i="8" s="1"/>
  <c r="E30" i="8"/>
  <c r="J9" i="8"/>
  <c r="I9" i="8" s="1"/>
  <c r="J10" i="8"/>
  <c r="I10" i="8" s="1"/>
  <c r="J8" i="8"/>
  <c r="I8" i="8" s="1"/>
  <c r="E9" i="8"/>
  <c r="E8" i="8"/>
  <c r="H137" i="10"/>
  <c r="G137" i="10"/>
  <c r="D137" i="10"/>
  <c r="C137" i="10"/>
  <c r="H118" i="10"/>
  <c r="G118" i="10"/>
  <c r="D118" i="10"/>
  <c r="C118" i="10"/>
  <c r="H99" i="10"/>
  <c r="G99" i="10"/>
  <c r="D99" i="10"/>
  <c r="C99" i="10"/>
  <c r="H80" i="10"/>
  <c r="G80" i="10"/>
  <c r="D80" i="10"/>
  <c r="C80" i="10"/>
  <c r="H60" i="10"/>
  <c r="G60" i="10"/>
  <c r="D60" i="10"/>
  <c r="C60" i="10"/>
  <c r="H41" i="10"/>
  <c r="G41" i="10"/>
  <c r="D41" i="10"/>
  <c r="C41" i="10"/>
  <c r="H22" i="10"/>
  <c r="G22" i="10"/>
  <c r="D22" i="10"/>
  <c r="C22" i="10"/>
  <c r="H4" i="10"/>
  <c r="G4" i="10"/>
  <c r="D4" i="10"/>
  <c r="C4" i="10"/>
  <c r="H138" i="10"/>
  <c r="G138" i="10"/>
  <c r="D138" i="10"/>
  <c r="C138" i="10"/>
  <c r="H119" i="10"/>
  <c r="G119" i="10"/>
  <c r="D119" i="10"/>
  <c r="C119" i="10"/>
  <c r="H100" i="10"/>
  <c r="G100" i="10"/>
  <c r="D100" i="10"/>
  <c r="C100" i="10"/>
  <c r="H81" i="10"/>
  <c r="G81" i="10"/>
  <c r="D81" i="10"/>
  <c r="C81" i="10"/>
  <c r="H61" i="10"/>
  <c r="G61" i="10"/>
  <c r="D61" i="10"/>
  <c r="C61" i="10"/>
  <c r="H42" i="10"/>
  <c r="G42" i="10"/>
  <c r="D42" i="10"/>
  <c r="C42" i="10"/>
  <c r="H23" i="10"/>
  <c r="G23" i="10"/>
  <c r="D23" i="10"/>
  <c r="C23" i="10"/>
  <c r="H5" i="10"/>
  <c r="G5" i="10"/>
  <c r="D5" i="10"/>
  <c r="C5" i="10"/>
  <c r="H7" i="10"/>
  <c r="E7" i="10"/>
  <c r="F146" i="10"/>
  <c r="F147" i="10"/>
  <c r="D140" i="10"/>
  <c r="G140" i="10"/>
  <c r="C140" i="10"/>
  <c r="G102" i="10"/>
  <c r="D102" i="10"/>
  <c r="F128" i="10"/>
  <c r="F109" i="10"/>
  <c r="F90" i="10"/>
  <c r="D152" i="10"/>
  <c r="J151" i="10"/>
  <c r="H140" i="10" s="1"/>
  <c r="D151" i="10"/>
  <c r="I140" i="10"/>
  <c r="F144" i="10"/>
  <c r="D144" i="10"/>
  <c r="B144" i="10"/>
  <c r="F143" i="10"/>
  <c r="D143" i="10"/>
  <c r="B143" i="10"/>
  <c r="D133" i="10"/>
  <c r="J132" i="10"/>
  <c r="E121" i="10" s="1"/>
  <c r="D132" i="10"/>
  <c r="F127" i="10"/>
  <c r="F125" i="10"/>
  <c r="D125" i="10"/>
  <c r="B125" i="10"/>
  <c r="F124" i="10"/>
  <c r="D124" i="10"/>
  <c r="B124" i="10"/>
  <c r="G121" i="10"/>
  <c r="C121" i="10"/>
  <c r="D114" i="10"/>
  <c r="J113" i="10"/>
  <c r="I102" i="10" s="1"/>
  <c r="D113" i="10"/>
  <c r="E102" i="10"/>
  <c r="F108" i="10"/>
  <c r="F106" i="10"/>
  <c r="D106" i="10"/>
  <c r="B106" i="10"/>
  <c r="F105" i="10"/>
  <c r="D105" i="10"/>
  <c r="B105" i="10"/>
  <c r="C102" i="10"/>
  <c r="D95" i="10"/>
  <c r="J94" i="10"/>
  <c r="I83" i="10" s="1"/>
  <c r="D94" i="10"/>
  <c r="E83" i="10"/>
  <c r="F89" i="10"/>
  <c r="F87" i="10"/>
  <c r="D87" i="10"/>
  <c r="B87" i="10"/>
  <c r="F86" i="10"/>
  <c r="D86" i="10"/>
  <c r="B86" i="10"/>
  <c r="G83" i="10"/>
  <c r="D83" i="10"/>
  <c r="C83" i="10"/>
  <c r="D63" i="10"/>
  <c r="G44" i="10"/>
  <c r="D75" i="10"/>
  <c r="J74" i="10"/>
  <c r="I63" i="10" s="1"/>
  <c r="D74" i="10"/>
  <c r="F69" i="10"/>
  <c r="F67" i="10"/>
  <c r="D67" i="10"/>
  <c r="B67" i="10"/>
  <c r="F66" i="10"/>
  <c r="D66" i="10"/>
  <c r="B66" i="10"/>
  <c r="G63" i="10"/>
  <c r="C63" i="10"/>
  <c r="D56" i="10"/>
  <c r="J55" i="10"/>
  <c r="I44" i="10" s="1"/>
  <c r="D55" i="10"/>
  <c r="E44" i="10"/>
  <c r="F50" i="10"/>
  <c r="F48" i="10"/>
  <c r="D48" i="10"/>
  <c r="B48" i="10"/>
  <c r="F47" i="10"/>
  <c r="B47" i="10"/>
  <c r="C44" i="10"/>
  <c r="D37" i="10"/>
  <c r="J36" i="10"/>
  <c r="I25" i="10" s="1"/>
  <c r="D36" i="10"/>
  <c r="E25" i="10"/>
  <c r="F31" i="10"/>
  <c r="F29" i="10"/>
  <c r="D29" i="10"/>
  <c r="B29" i="10"/>
  <c r="F28" i="10"/>
  <c r="D28" i="10"/>
  <c r="B28" i="10"/>
  <c r="G25" i="10"/>
  <c r="C25" i="10"/>
  <c r="F13" i="10"/>
  <c r="C7" i="10"/>
  <c r="B11" i="10"/>
  <c r="B10" i="10"/>
  <c r="F11" i="10"/>
  <c r="H12" i="9"/>
  <c r="G7" i="10"/>
  <c r="F10" i="10"/>
  <c r="E50" i="9"/>
  <c r="E47" i="9"/>
  <c r="H7" i="9"/>
  <c r="H9" i="9"/>
  <c r="H10" i="9"/>
  <c r="H6" i="9"/>
  <c r="C11" i="9"/>
  <c r="H11" i="9"/>
  <c r="E9" i="9"/>
  <c r="E8" i="9"/>
  <c r="E10" i="9"/>
  <c r="G124" i="10" l="1"/>
  <c r="B8" i="10" a="1"/>
  <c r="B8" i="10" s="1"/>
  <c r="E9" i="11"/>
  <c r="B327" i="8" a="1"/>
  <c r="B327" i="8" s="1"/>
  <c r="B12" i="8" a="1"/>
  <c r="B12" i="8" s="1"/>
  <c r="G10" i="10"/>
  <c r="D21" i="7"/>
  <c r="B32" i="7" a="1"/>
  <c r="B32" i="7" s="1"/>
  <c r="G78" i="22"/>
  <c r="AK80" i="22"/>
  <c r="AI64" i="22"/>
  <c r="J64" i="22" s="1"/>
  <c r="C36" i="12"/>
  <c r="B34" i="12"/>
  <c r="AD24" i="12"/>
  <c r="AD45" i="12"/>
  <c r="D45" i="12" s="1"/>
  <c r="B48" i="12" s="1"/>
  <c r="AB52" i="12"/>
  <c r="AD52" i="12" s="1"/>
  <c r="D52" i="12" s="1"/>
  <c r="B54" i="12" s="1"/>
  <c r="AI51" i="22"/>
  <c r="J51" i="22" s="1"/>
  <c r="AG24" i="22"/>
  <c r="H24" i="22" s="1"/>
  <c r="H26" i="22"/>
  <c r="AI24" i="22"/>
  <c r="J24" i="22" s="1"/>
  <c r="J26" i="22"/>
  <c r="H40" i="22"/>
  <c r="AG38" i="22"/>
  <c r="H38" i="22" s="1"/>
  <c r="H66" i="22"/>
  <c r="AG64" i="22"/>
  <c r="H64" i="22" s="1"/>
  <c r="H53" i="22"/>
  <c r="AG51" i="22"/>
  <c r="H51" i="22" s="1"/>
  <c r="AD13" i="22"/>
  <c r="C13" i="22"/>
  <c r="AD10" i="11"/>
  <c r="D10" i="11" s="1"/>
  <c r="E24" i="12"/>
  <c r="AI45" i="11"/>
  <c r="AH44" i="11"/>
  <c r="AA45" i="11"/>
  <c r="AG46" i="11"/>
  <c r="AI43" i="11"/>
  <c r="AG43" i="11"/>
  <c r="AH46" i="11"/>
  <c r="AI46" i="11"/>
  <c r="AH45" i="11"/>
  <c r="AD44" i="11"/>
  <c r="AE45" i="11"/>
  <c r="AK45" i="11" s="1"/>
  <c r="AB11" i="11"/>
  <c r="AD38" i="12"/>
  <c r="D38" i="12" s="1"/>
  <c r="B58" i="10"/>
  <c r="J140" i="10"/>
  <c r="B135" i="10"/>
  <c r="B77" i="10"/>
  <c r="G105" i="10"/>
  <c r="G143" i="10"/>
  <c r="B154" i="10"/>
  <c r="B39" i="10"/>
  <c r="B116" i="10"/>
  <c r="B21" i="10"/>
  <c r="B97" i="10"/>
  <c r="G86" i="10"/>
  <c r="H102" i="10"/>
  <c r="H83" i="10"/>
  <c r="G66" i="10"/>
  <c r="H63" i="10"/>
  <c r="D44" i="10"/>
  <c r="G47" i="10"/>
  <c r="D25" i="10"/>
  <c r="G28" i="10"/>
  <c r="H44" i="10"/>
  <c r="H25" i="10"/>
  <c r="D7" i="10"/>
  <c r="I7" i="10"/>
  <c r="C12" i="9"/>
  <c r="G38" i="8"/>
  <c r="G37" i="8"/>
  <c r="AK49" i="22" l="1" a="1"/>
  <c r="AK49" i="22" s="1"/>
  <c r="G48" i="22" s="1"/>
  <c r="B27" i="12"/>
  <c r="C29" i="12"/>
  <c r="AK62" i="22" a="1"/>
  <c r="AK62" i="22" s="1"/>
  <c r="G61" i="22" s="1"/>
  <c r="AK81" i="22"/>
  <c r="G79" i="22"/>
  <c r="C43" i="12"/>
  <c r="B41" i="12"/>
  <c r="C50" i="12"/>
  <c r="AK36" i="22" a="1"/>
  <c r="AK36" i="22" s="1"/>
  <c r="K35" i="22" s="1"/>
  <c r="AK22" i="22" a="1"/>
  <c r="AK22" i="22" s="1"/>
  <c r="E21" i="22" s="1"/>
  <c r="I48" i="22"/>
  <c r="H48" i="22"/>
  <c r="AG13" i="22"/>
  <c r="E13" i="22"/>
  <c r="AD11" i="22"/>
  <c r="E11" i="22" s="1"/>
  <c r="AG45" i="11"/>
  <c r="AA44" i="11"/>
  <c r="AG44" i="11" s="1"/>
  <c r="E47" i="11" a="1"/>
  <c r="E47" i="11" s="1"/>
  <c r="AD43" i="11"/>
  <c r="AE44" i="11"/>
  <c r="AB16" i="11"/>
  <c r="AD11" i="11"/>
  <c r="D11" i="11" s="1"/>
  <c r="B12" i="11" s="1" a="1"/>
  <c r="B12" i="11" s="1"/>
  <c r="J330" i="8"/>
  <c r="H330" i="8"/>
  <c r="E330" i="8"/>
  <c r="C330" i="8"/>
  <c r="K329" i="8"/>
  <c r="I329" i="8"/>
  <c r="F329" i="8"/>
  <c r="D329" i="8"/>
  <c r="G325" i="8"/>
  <c r="G324" i="8"/>
  <c r="B322" i="8" s="1" a="1"/>
  <c r="B322" i="8" s="1"/>
  <c r="H320" i="8"/>
  <c r="I319" i="8"/>
  <c r="I318" i="8"/>
  <c r="D318" i="8"/>
  <c r="J308" i="8"/>
  <c r="H308" i="8"/>
  <c r="E308" i="8"/>
  <c r="C308" i="8"/>
  <c r="K307" i="8"/>
  <c r="I307" i="8"/>
  <c r="F307" i="8"/>
  <c r="D307" i="8"/>
  <c r="G303" i="8"/>
  <c r="D303" i="8"/>
  <c r="G302" i="8"/>
  <c r="D302" i="8"/>
  <c r="E302" i="8" s="1"/>
  <c r="H298" i="8"/>
  <c r="I296" i="8"/>
  <c r="D296" i="8"/>
  <c r="I295" i="8"/>
  <c r="J286" i="8"/>
  <c r="H286" i="8"/>
  <c r="E286" i="8"/>
  <c r="C286" i="8"/>
  <c r="K285" i="8"/>
  <c r="I285" i="8"/>
  <c r="F285" i="8"/>
  <c r="D285" i="8"/>
  <c r="G281" i="8"/>
  <c r="D281" i="8"/>
  <c r="G280" i="8"/>
  <c r="D280" i="8"/>
  <c r="E280" i="8" s="1"/>
  <c r="H276" i="8"/>
  <c r="I274" i="8"/>
  <c r="D274" i="8"/>
  <c r="I273" i="8"/>
  <c r="J264" i="8"/>
  <c r="H264" i="8"/>
  <c r="E264" i="8"/>
  <c r="C264" i="8"/>
  <c r="K263" i="8"/>
  <c r="I263" i="8"/>
  <c r="F263" i="8"/>
  <c r="D263" i="8"/>
  <c r="G259" i="8"/>
  <c r="D259" i="8"/>
  <c r="G258" i="8"/>
  <c r="D258" i="8"/>
  <c r="E258" i="8" s="1"/>
  <c r="H254" i="8"/>
  <c r="I252" i="8"/>
  <c r="I251" i="8"/>
  <c r="J242" i="8"/>
  <c r="H242" i="8"/>
  <c r="E242" i="8"/>
  <c r="C242" i="8"/>
  <c r="K241" i="8"/>
  <c r="I241" i="8"/>
  <c r="F241" i="8"/>
  <c r="D241" i="8"/>
  <c r="G237" i="8"/>
  <c r="D237" i="8"/>
  <c r="G236" i="8"/>
  <c r="D236" i="8"/>
  <c r="E236" i="8" s="1"/>
  <c r="H232" i="8"/>
  <c r="I230" i="8"/>
  <c r="D230" i="8"/>
  <c r="I229" i="8"/>
  <c r="J220" i="8"/>
  <c r="H220" i="8"/>
  <c r="E220" i="8"/>
  <c r="C220" i="8"/>
  <c r="K219" i="8"/>
  <c r="I219" i="8"/>
  <c r="F219" i="8"/>
  <c r="D219" i="8"/>
  <c r="G215" i="8"/>
  <c r="D215" i="8"/>
  <c r="G214" i="8"/>
  <c r="D214" i="8"/>
  <c r="E214" i="8" s="1"/>
  <c r="H210" i="8"/>
  <c r="F218" i="8"/>
  <c r="I208" i="8"/>
  <c r="D208" i="8"/>
  <c r="I207" i="8"/>
  <c r="J198" i="8"/>
  <c r="H198" i="8"/>
  <c r="E198" i="8"/>
  <c r="C198" i="8"/>
  <c r="K197" i="8"/>
  <c r="I197" i="8"/>
  <c r="F197" i="8"/>
  <c r="D197" i="8"/>
  <c r="G193" i="8"/>
  <c r="D193" i="8"/>
  <c r="G192" i="8"/>
  <c r="D192" i="8"/>
  <c r="E192" i="8" s="1"/>
  <c r="H188" i="8"/>
  <c r="I186" i="8"/>
  <c r="D186" i="8"/>
  <c r="I185" i="8"/>
  <c r="J176" i="8"/>
  <c r="H176" i="8"/>
  <c r="E176" i="8"/>
  <c r="C176" i="8"/>
  <c r="K175" i="8"/>
  <c r="I175" i="8"/>
  <c r="F175" i="8"/>
  <c r="D175" i="8"/>
  <c r="G171" i="8"/>
  <c r="D171" i="8"/>
  <c r="G170" i="8"/>
  <c r="D170" i="8"/>
  <c r="E170" i="8" s="1"/>
  <c r="H166" i="8"/>
  <c r="I164" i="8"/>
  <c r="D164" i="8"/>
  <c r="J154" i="8"/>
  <c r="H154" i="8"/>
  <c r="E154" i="8"/>
  <c r="C154" i="8"/>
  <c r="K153" i="8"/>
  <c r="I153" i="8"/>
  <c r="F153" i="8"/>
  <c r="D153" i="8"/>
  <c r="G149" i="8"/>
  <c r="D149" i="8"/>
  <c r="G148" i="8"/>
  <c r="D148" i="8"/>
  <c r="E148" i="8" s="1"/>
  <c r="H144" i="8"/>
  <c r="I142" i="8"/>
  <c r="D142" i="8"/>
  <c r="I141" i="8"/>
  <c r="J132" i="8"/>
  <c r="H132" i="8"/>
  <c r="E132" i="8"/>
  <c r="C132" i="8"/>
  <c r="K131" i="8"/>
  <c r="I131" i="8"/>
  <c r="F131" i="8"/>
  <c r="D131" i="8"/>
  <c r="G127" i="8"/>
  <c r="D127" i="8"/>
  <c r="G126" i="8"/>
  <c r="D126" i="8"/>
  <c r="E126" i="8" s="1"/>
  <c r="H122" i="8"/>
  <c r="I121" i="8"/>
  <c r="I120" i="8"/>
  <c r="D120" i="8"/>
  <c r="I119" i="8"/>
  <c r="J110" i="8"/>
  <c r="H110" i="8"/>
  <c r="E110" i="8"/>
  <c r="C110" i="8"/>
  <c r="K109" i="8"/>
  <c r="I109" i="8"/>
  <c r="F109" i="8"/>
  <c r="D109" i="8"/>
  <c r="G105" i="8"/>
  <c r="D105" i="8"/>
  <c r="G104" i="8"/>
  <c r="D104" i="8"/>
  <c r="E104" i="8" s="1"/>
  <c r="H100" i="8"/>
  <c r="D99" i="8"/>
  <c r="D108" i="8" s="1"/>
  <c r="I98" i="8"/>
  <c r="D98" i="8"/>
  <c r="I97" i="8"/>
  <c r="J88" i="8"/>
  <c r="H88" i="8"/>
  <c r="C88" i="8"/>
  <c r="K87" i="8"/>
  <c r="I87" i="8"/>
  <c r="F87" i="8"/>
  <c r="D87" i="8"/>
  <c r="G83" i="8"/>
  <c r="D83" i="8"/>
  <c r="G82" i="8"/>
  <c r="D82" i="8"/>
  <c r="E82" i="8" s="1"/>
  <c r="H78" i="8"/>
  <c r="I77" i="8"/>
  <c r="D86" i="8"/>
  <c r="D76" i="8"/>
  <c r="I75" i="8"/>
  <c r="J66" i="8"/>
  <c r="H66" i="8"/>
  <c r="E66" i="8"/>
  <c r="C66" i="8"/>
  <c r="K65" i="8"/>
  <c r="I65" i="8"/>
  <c r="F65" i="8"/>
  <c r="D65" i="8"/>
  <c r="G61" i="8"/>
  <c r="D61" i="8"/>
  <c r="G60" i="8"/>
  <c r="D60" i="8"/>
  <c r="E60" i="8" s="1"/>
  <c r="H56" i="8"/>
  <c r="I55" i="8"/>
  <c r="I54" i="8"/>
  <c r="D54" i="8"/>
  <c r="I53" i="8"/>
  <c r="G16" i="8"/>
  <c r="D38" i="8"/>
  <c r="D37" i="8"/>
  <c r="H33" i="8"/>
  <c r="I31" i="8"/>
  <c r="I30" i="8"/>
  <c r="H11" i="8"/>
  <c r="J20" i="8"/>
  <c r="H20" i="8"/>
  <c r="E20" i="8"/>
  <c r="C20" i="8"/>
  <c r="K20" i="8"/>
  <c r="I20" i="8"/>
  <c r="D15" i="8"/>
  <c r="F20" i="8"/>
  <c r="J48" i="22" l="1"/>
  <c r="K48" i="22"/>
  <c r="B48" i="22"/>
  <c r="E48" i="22"/>
  <c r="F48" i="22"/>
  <c r="AK50" i="22"/>
  <c r="AK51" i="22" s="1"/>
  <c r="G50" i="22" s="1"/>
  <c r="C48" i="22"/>
  <c r="D48" i="22"/>
  <c r="B22" i="8"/>
  <c r="I41" i="8"/>
  <c r="K41" i="8"/>
  <c r="E37" i="8"/>
  <c r="AK63" i="22"/>
  <c r="AK64" i="22" s="1"/>
  <c r="AK65" i="22" s="1"/>
  <c r="H61" i="22"/>
  <c r="I61" i="22"/>
  <c r="J61" i="22"/>
  <c r="D61" i="22"/>
  <c r="C61" i="22"/>
  <c r="K61" i="22"/>
  <c r="B61" i="22"/>
  <c r="E61" i="22"/>
  <c r="F61" i="22"/>
  <c r="AK82" i="22"/>
  <c r="G80" i="22"/>
  <c r="AK23" i="22"/>
  <c r="AK24" i="22" s="1"/>
  <c r="G23" i="22" s="1"/>
  <c r="K21" i="22"/>
  <c r="C21" i="22"/>
  <c r="I21" i="22"/>
  <c r="E61" i="8"/>
  <c r="B63" i="8" s="1" a="1"/>
  <c r="B63" i="8" s="1"/>
  <c r="B266" i="8"/>
  <c r="E127" i="8"/>
  <c r="B124" i="8" s="1" a="1"/>
  <c r="B124" i="8" s="1"/>
  <c r="E149" i="8"/>
  <c r="B151" i="8" s="1" a="1"/>
  <c r="B151" i="8" s="1"/>
  <c r="E215" i="8"/>
  <c r="B217" i="8" s="1" a="1"/>
  <c r="B217" i="8" s="1"/>
  <c r="B244" i="8"/>
  <c r="E83" i="8"/>
  <c r="B85" i="8" s="1" a="1"/>
  <c r="B85" i="8" s="1"/>
  <c r="E281" i="8"/>
  <c r="B278" i="8" s="1" a="1"/>
  <c r="B278" i="8" s="1"/>
  <c r="E171" i="8"/>
  <c r="B173" i="8" s="1" a="1"/>
  <c r="B173" i="8" s="1"/>
  <c r="E237" i="8"/>
  <c r="B239" i="8" s="1" a="1"/>
  <c r="B239" i="8" s="1"/>
  <c r="B288" i="8"/>
  <c r="E193" i="8"/>
  <c r="B195" i="8" s="1" a="1"/>
  <c r="B195" i="8" s="1"/>
  <c r="E259" i="8"/>
  <c r="B256" i="8" s="1" a="1"/>
  <c r="B256" i="8" s="1"/>
  <c r="E38" i="8"/>
  <c r="B222" i="8"/>
  <c r="B200" i="8"/>
  <c r="B178" i="8"/>
  <c r="B68" i="8"/>
  <c r="F35" i="22"/>
  <c r="C35" i="22"/>
  <c r="AK37" i="22"/>
  <c r="AK38" i="22" s="1"/>
  <c r="H35" i="22"/>
  <c r="B35" i="22"/>
  <c r="D35" i="22"/>
  <c r="I35" i="22"/>
  <c r="E35" i="22"/>
  <c r="G35" i="22"/>
  <c r="J35" i="22"/>
  <c r="D21" i="22"/>
  <c r="B21" i="22"/>
  <c r="J21" i="22"/>
  <c r="H21" i="22"/>
  <c r="G21" i="22"/>
  <c r="F21" i="22"/>
  <c r="AG11" i="22"/>
  <c r="H11" i="22" s="1"/>
  <c r="H13" i="22"/>
  <c r="C47" i="11" a="1"/>
  <c r="C47" i="11" s="1"/>
  <c r="AK44" i="11"/>
  <c r="AE43" i="11"/>
  <c r="AK43" i="11" s="1"/>
  <c r="AD46" i="11"/>
  <c r="AJ46" i="11" s="1"/>
  <c r="D47" i="11" s="1" a="1"/>
  <c r="D47" i="11" s="1"/>
  <c r="AJ43" i="11"/>
  <c r="AB23" i="11"/>
  <c r="AD16" i="11"/>
  <c r="D16" i="11" s="1"/>
  <c r="C21" i="11" s="1"/>
  <c r="B90" i="8"/>
  <c r="E15" i="8"/>
  <c r="E16" i="8"/>
  <c r="E105" i="8"/>
  <c r="E106" i="8" s="1"/>
  <c r="B112" i="8"/>
  <c r="E303" i="8"/>
  <c r="B305" i="8" s="1" a="1"/>
  <c r="B305" i="8" s="1"/>
  <c r="B310" i="8"/>
  <c r="G306" i="8"/>
  <c r="B156" i="8"/>
  <c r="B134" i="8"/>
  <c r="D9" i="8"/>
  <c r="D185" i="8"/>
  <c r="I317" i="8"/>
  <c r="D8" i="8"/>
  <c r="K86" i="8"/>
  <c r="F284" i="8"/>
  <c r="F196" i="8"/>
  <c r="I328" i="8"/>
  <c r="K240" i="8"/>
  <c r="I209" i="8"/>
  <c r="D121" i="8"/>
  <c r="D130" i="8" s="1"/>
  <c r="I152" i="8"/>
  <c r="K306" i="8"/>
  <c r="I275" i="8"/>
  <c r="K130" i="8"/>
  <c r="F169" i="8" a="1"/>
  <c r="F169" i="8" s="1"/>
  <c r="K174" i="8"/>
  <c r="E147" i="8" a="1"/>
  <c r="E147" i="8" s="1"/>
  <c r="F235" i="8" a="1"/>
  <c r="F235" i="8" s="1"/>
  <c r="F279" i="8" a="1"/>
  <c r="F279" i="8" s="1"/>
  <c r="F301" i="8" a="1"/>
  <c r="F301" i="8" s="1"/>
  <c r="D187" i="8"/>
  <c r="D196" i="8" s="1"/>
  <c r="I306" i="8"/>
  <c r="K218" i="8"/>
  <c r="K284" i="8"/>
  <c r="K152" i="8"/>
  <c r="D323" i="8" a="1"/>
  <c r="D323" i="8" s="1"/>
  <c r="K328" i="8"/>
  <c r="D295" i="8"/>
  <c r="D297" i="8"/>
  <c r="D306" i="8" s="1"/>
  <c r="I284" i="8"/>
  <c r="C279" i="8" a="1"/>
  <c r="C279" i="8" s="1"/>
  <c r="I262" i="8"/>
  <c r="E257" i="8" a="1"/>
  <c r="E257" i="8" s="1"/>
  <c r="D252" i="8"/>
  <c r="I231" i="8"/>
  <c r="F240" i="8" s="1"/>
  <c r="F213" i="8" a="1"/>
  <c r="F213" i="8" s="1"/>
  <c r="I196" i="8"/>
  <c r="E191" i="8" a="1"/>
  <c r="E191" i="8" s="1"/>
  <c r="I187" i="8"/>
  <c r="F191" i="8" a="1"/>
  <c r="F191" i="8" s="1"/>
  <c r="E169" i="8" a="1"/>
  <c r="E169" i="8" s="1"/>
  <c r="D125" i="8" a="1"/>
  <c r="D125" i="8" s="1"/>
  <c r="D119" i="8"/>
  <c r="K108" i="8"/>
  <c r="I99" i="8"/>
  <c r="F108" i="8" s="1"/>
  <c r="D103" i="8" a="1"/>
  <c r="D103" i="8" s="1"/>
  <c r="E103" i="8" a="1"/>
  <c r="E103" i="8" s="1"/>
  <c r="F81" i="8" a="1"/>
  <c r="F81" i="8" s="1"/>
  <c r="K64" i="8"/>
  <c r="D75" i="8"/>
  <c r="C81" i="8" a="1"/>
  <c r="C81" i="8" s="1"/>
  <c r="G81" i="8" a="1"/>
  <c r="G81" i="8" s="1"/>
  <c r="D77" i="8"/>
  <c r="D55" i="8"/>
  <c r="D64" i="8" s="1"/>
  <c r="D59" i="8" a="1"/>
  <c r="D59" i="8" s="1"/>
  <c r="D53" i="8"/>
  <c r="F328" i="8"/>
  <c r="F323" i="8" a="1"/>
  <c r="F323" i="8" s="1"/>
  <c r="E326" i="8"/>
  <c r="C323" i="8" a="1"/>
  <c r="C323" i="8" s="1"/>
  <c r="G323" i="8" a="1"/>
  <c r="G323" i="8" s="1"/>
  <c r="D317" i="8"/>
  <c r="D319" i="8"/>
  <c r="C320" i="8" s="1"/>
  <c r="E323" i="8" a="1"/>
  <c r="E323" i="8" s="1"/>
  <c r="C301" i="8" a="1"/>
  <c r="C301" i="8" s="1"/>
  <c r="G301" i="8" a="1"/>
  <c r="G301" i="8" s="1"/>
  <c r="D301" i="8" a="1"/>
  <c r="D301" i="8" s="1"/>
  <c r="I297" i="8"/>
  <c r="F306" i="8" s="1"/>
  <c r="E301" i="8" a="1"/>
  <c r="E301" i="8" s="1"/>
  <c r="G279" i="8" a="1"/>
  <c r="G279" i="8" s="1"/>
  <c r="D273" i="8"/>
  <c r="D275" i="8"/>
  <c r="D284" i="8" s="1"/>
  <c r="D279" i="8" a="1"/>
  <c r="D279" i="8" s="1"/>
  <c r="E279" i="8" a="1"/>
  <c r="E279" i="8" s="1"/>
  <c r="D262" i="8"/>
  <c r="F257" i="8" a="1"/>
  <c r="F257" i="8" s="1"/>
  <c r="K262" i="8"/>
  <c r="C257" i="8" a="1"/>
  <c r="C257" i="8" s="1"/>
  <c r="G257" i="8" a="1"/>
  <c r="G257" i="8" s="1"/>
  <c r="D251" i="8"/>
  <c r="D253" i="8"/>
  <c r="I253" i="8"/>
  <c r="F262" i="8" s="1"/>
  <c r="D257" i="8" a="1"/>
  <c r="D257" i="8" s="1"/>
  <c r="C235" i="8" a="1"/>
  <c r="C235" i="8" s="1"/>
  <c r="G235" i="8" a="1"/>
  <c r="G235" i="8" s="1"/>
  <c r="D229" i="8"/>
  <c r="D231" i="8"/>
  <c r="D240" i="8" s="1"/>
  <c r="E235" i="8" a="1"/>
  <c r="E235" i="8" s="1"/>
  <c r="D235" i="8" a="1"/>
  <c r="D235" i="8" s="1"/>
  <c r="I240" i="8"/>
  <c r="C213" i="8" a="1"/>
  <c r="C213" i="8" s="1"/>
  <c r="G213" i="8" a="1"/>
  <c r="G213" i="8" s="1"/>
  <c r="D207" i="8"/>
  <c r="D209" i="8"/>
  <c r="D218" i="8" s="1"/>
  <c r="E213" i="8" a="1"/>
  <c r="E213" i="8" s="1"/>
  <c r="D213" i="8" a="1"/>
  <c r="D213" i="8" s="1"/>
  <c r="I218" i="8"/>
  <c r="K196" i="8"/>
  <c r="C191" i="8" a="1"/>
  <c r="C191" i="8" s="1"/>
  <c r="G191" i="8" a="1"/>
  <c r="G191" i="8" s="1"/>
  <c r="D191" i="8" a="1"/>
  <c r="D191" i="8" s="1"/>
  <c r="D174" i="8"/>
  <c r="G169" i="8" a="1"/>
  <c r="G169" i="8" s="1"/>
  <c r="D163" i="8"/>
  <c r="D165" i="8"/>
  <c r="D169" i="8" a="1"/>
  <c r="D169" i="8" s="1"/>
  <c r="C169" i="8" a="1"/>
  <c r="C169" i="8" s="1"/>
  <c r="I163" i="8"/>
  <c r="I165" i="8"/>
  <c r="F174" i="8" s="1"/>
  <c r="I174" i="8"/>
  <c r="F152" i="8"/>
  <c r="C147" i="8" a="1"/>
  <c r="C147" i="8" s="1"/>
  <c r="G147" i="8" a="1"/>
  <c r="G147" i="8" s="1"/>
  <c r="D141" i="8"/>
  <c r="D143" i="8"/>
  <c r="D152" i="8" s="1"/>
  <c r="D147" i="8" a="1"/>
  <c r="D147" i="8" s="1"/>
  <c r="I143" i="8"/>
  <c r="F147" i="8" a="1"/>
  <c r="F147" i="8" s="1"/>
  <c r="I130" i="8"/>
  <c r="F125" i="8" a="1"/>
  <c r="F125" i="8" s="1"/>
  <c r="E125" i="8" a="1"/>
  <c r="E125" i="8" s="1"/>
  <c r="F130" i="8"/>
  <c r="C125" i="8" a="1"/>
  <c r="C125" i="8" s="1"/>
  <c r="G125" i="8" a="1"/>
  <c r="G125" i="8" s="1"/>
  <c r="I108" i="8"/>
  <c r="C103" i="8" a="1"/>
  <c r="C103" i="8" s="1"/>
  <c r="G103" i="8" a="1"/>
  <c r="G103" i="8" s="1"/>
  <c r="F103" i="8" a="1"/>
  <c r="F103" i="8" s="1"/>
  <c r="D97" i="8"/>
  <c r="E81" i="8" a="1"/>
  <c r="E81" i="8" s="1"/>
  <c r="F86" i="8"/>
  <c r="I76" i="8"/>
  <c r="D81" i="8" a="1"/>
  <c r="D81" i="8" s="1"/>
  <c r="I86" i="8"/>
  <c r="I64" i="8"/>
  <c r="F59" i="8" a="1"/>
  <c r="F59" i="8" s="1"/>
  <c r="F64" i="8"/>
  <c r="C59" i="8" a="1"/>
  <c r="C59" i="8" s="1"/>
  <c r="E59" i="8" a="1"/>
  <c r="E59" i="8" s="1"/>
  <c r="G59" i="8" a="1"/>
  <c r="G59" i="8" s="1"/>
  <c r="I32" i="8"/>
  <c r="F41" i="8" s="1"/>
  <c r="E36" i="8" a="1"/>
  <c r="E36" i="8" s="1"/>
  <c r="F36" i="8" a="1"/>
  <c r="F36" i="8" s="1"/>
  <c r="C36" i="8" a="1"/>
  <c r="C36" i="8" s="1"/>
  <c r="G36" i="8" a="1"/>
  <c r="G36" i="8" s="1"/>
  <c r="D30" i="8"/>
  <c r="D32" i="8"/>
  <c r="D41" i="8" s="1"/>
  <c r="D36" i="8" a="1"/>
  <c r="D36" i="8" s="1"/>
  <c r="AK4" i="8"/>
  <c r="AK8" i="8"/>
  <c r="AK5" i="8" a="1"/>
  <c r="AK5" i="8" s="1"/>
  <c r="AK3" i="8"/>
  <c r="E14" i="8" a="1"/>
  <c r="E14" i="8" s="1"/>
  <c r="D14" i="8" a="1"/>
  <c r="D14" i="8" s="1"/>
  <c r="C14" i="8" a="1"/>
  <c r="C14" i="8" s="1"/>
  <c r="F14" i="8" a="1"/>
  <c r="F14" i="8" s="1"/>
  <c r="G14" i="8" a="1"/>
  <c r="G14" i="8" s="1"/>
  <c r="K19" i="8"/>
  <c r="I19" i="8"/>
  <c r="F19" i="8"/>
  <c r="E216" i="8" l="1"/>
  <c r="E282" i="8"/>
  <c r="AK52" i="22"/>
  <c r="AK53" i="22" s="1"/>
  <c r="AK25" i="22"/>
  <c r="AK26" i="22" s="1"/>
  <c r="G25" i="22" s="1"/>
  <c r="B283" i="8" a="1"/>
  <c r="B283" i="8" s="1"/>
  <c r="B234" i="8" a="1"/>
  <c r="B234" i="8" s="1"/>
  <c r="B80" i="8" a="1"/>
  <c r="B80" i="8" s="1"/>
  <c r="B300" i="8" a="1"/>
  <c r="B300" i="8" s="1"/>
  <c r="B18" i="8" a="1"/>
  <c r="B18" i="8" s="1"/>
  <c r="B129" i="8" a="1"/>
  <c r="B129" i="8" s="1"/>
  <c r="B168" i="8" a="1"/>
  <c r="B168" i="8" s="1"/>
  <c r="B261" i="8" a="1"/>
  <c r="B261" i="8" s="1"/>
  <c r="B102" i="8" a="1"/>
  <c r="B102" i="8" s="1"/>
  <c r="B107" i="8" a="1"/>
  <c r="B107" i="8" s="1"/>
  <c r="B190" i="8" a="1"/>
  <c r="B190" i="8" s="1"/>
  <c r="B212" i="8" a="1"/>
  <c r="B212" i="8" s="1"/>
  <c r="B40" i="8" a="1"/>
  <c r="B40" i="8" s="1"/>
  <c r="B35" i="8" a="1"/>
  <c r="B35" i="8" s="1"/>
  <c r="B58" i="8" a="1"/>
  <c r="B58" i="8" s="1"/>
  <c r="B146" i="8" a="1"/>
  <c r="B146" i="8" s="1"/>
  <c r="E150" i="8"/>
  <c r="E260" i="8"/>
  <c r="G63" i="22"/>
  <c r="AK83" i="22"/>
  <c r="K81" i="22"/>
  <c r="J81" i="22"/>
  <c r="I81" i="22"/>
  <c r="F81" i="22"/>
  <c r="C81" i="22"/>
  <c r="B81" i="22"/>
  <c r="E81" i="22"/>
  <c r="D81" i="22"/>
  <c r="H81" i="22"/>
  <c r="G81" i="22"/>
  <c r="E238" i="8"/>
  <c r="AK9" i="22" a="1"/>
  <c r="AK9" i="22" s="1"/>
  <c r="B13" i="8" a="1"/>
  <c r="B13" i="8" s="1"/>
  <c r="E17" i="8"/>
  <c r="J36" i="22"/>
  <c r="K36" i="22"/>
  <c r="K37" i="22"/>
  <c r="G37" i="22"/>
  <c r="J37" i="22"/>
  <c r="AK39" i="22"/>
  <c r="G64" i="22"/>
  <c r="AK66" i="22"/>
  <c r="G51" i="22"/>
  <c r="G47" i="11" a="1"/>
  <c r="G47" i="11" s="1"/>
  <c r="AD23" i="11"/>
  <c r="D23" i="11" s="1"/>
  <c r="C28" i="11" s="1"/>
  <c r="AB30" i="11"/>
  <c r="D328" i="8"/>
  <c r="E304" i="8"/>
  <c r="E194" i="8"/>
  <c r="E172" i="8"/>
  <c r="E128" i="8"/>
  <c r="E84" i="8"/>
  <c r="E62" i="8"/>
  <c r="E39" i="8"/>
  <c r="AK6" i="8" a="1"/>
  <c r="AK6" i="8" s="1"/>
  <c r="AK7" i="8" a="1"/>
  <c r="AK7" i="8" s="1"/>
  <c r="E21" i="5"/>
  <c r="E20" i="5"/>
  <c r="E8" i="5"/>
  <c r="E13" i="5"/>
  <c r="E15" i="5"/>
  <c r="E6" i="5"/>
  <c r="L24" i="4"/>
  <c r="J106" i="1"/>
  <c r="H106" i="1"/>
  <c r="E106" i="1"/>
  <c r="C106" i="1"/>
  <c r="J100" i="1"/>
  <c r="H100" i="1"/>
  <c r="E100" i="1"/>
  <c r="C100" i="1"/>
  <c r="J94" i="1"/>
  <c r="H94" i="1"/>
  <c r="E94" i="1"/>
  <c r="C94" i="1"/>
  <c r="J88" i="1"/>
  <c r="H88" i="1"/>
  <c r="E88" i="1"/>
  <c r="C88" i="1"/>
  <c r="J82" i="1"/>
  <c r="H82" i="1"/>
  <c r="E82" i="1"/>
  <c r="C82" i="1"/>
  <c r="J76" i="1"/>
  <c r="H76" i="1"/>
  <c r="E76" i="1"/>
  <c r="C76" i="1"/>
  <c r="J70" i="1"/>
  <c r="H70" i="1"/>
  <c r="E70" i="1"/>
  <c r="C70" i="1"/>
  <c r="J64" i="1"/>
  <c r="H64" i="1"/>
  <c r="E64" i="1"/>
  <c r="C64" i="1"/>
  <c r="J58" i="1"/>
  <c r="H58" i="1"/>
  <c r="E58" i="1"/>
  <c r="C58" i="1"/>
  <c r="J52" i="1"/>
  <c r="H52" i="1"/>
  <c r="E52" i="1"/>
  <c r="C52" i="1"/>
  <c r="J46" i="1"/>
  <c r="H46" i="1"/>
  <c r="E46" i="1"/>
  <c r="C46" i="1"/>
  <c r="J40" i="1"/>
  <c r="H40" i="1"/>
  <c r="E40" i="1"/>
  <c r="C40" i="1"/>
  <c r="J34" i="1"/>
  <c r="H34" i="1"/>
  <c r="E34" i="1"/>
  <c r="C34" i="1"/>
  <c r="J28" i="1"/>
  <c r="H28" i="1"/>
  <c r="E28" i="1"/>
  <c r="C28" i="1"/>
  <c r="J22" i="1"/>
  <c r="H22" i="1"/>
  <c r="E22" i="1"/>
  <c r="C22" i="1"/>
  <c r="J16" i="1"/>
  <c r="H16" i="1"/>
  <c r="E16" i="1"/>
  <c r="C16" i="1"/>
  <c r="J10" i="1"/>
  <c r="H10" i="1"/>
  <c r="E10" i="1"/>
  <c r="C10" i="1"/>
  <c r="J316" i="1"/>
  <c r="H316" i="1"/>
  <c r="E316" i="1"/>
  <c r="C316" i="1"/>
  <c r="J315" i="1"/>
  <c r="H315" i="1"/>
  <c r="E315" i="1"/>
  <c r="C315" i="1"/>
  <c r="J314" i="1"/>
  <c r="H314" i="1"/>
  <c r="E314" i="1"/>
  <c r="C314" i="1"/>
  <c r="J313" i="1"/>
  <c r="H313" i="1"/>
  <c r="E313" i="1"/>
  <c r="J310" i="1"/>
  <c r="H310" i="1"/>
  <c r="E310" i="1"/>
  <c r="C310" i="1"/>
  <c r="J309" i="1"/>
  <c r="H309" i="1"/>
  <c r="E309" i="1"/>
  <c r="C309" i="1"/>
  <c r="J308" i="1"/>
  <c r="H308" i="1"/>
  <c r="E308" i="1"/>
  <c r="C308" i="1"/>
  <c r="J307" i="1"/>
  <c r="H307" i="1"/>
  <c r="E307" i="1"/>
  <c r="J304" i="1"/>
  <c r="H304" i="1"/>
  <c r="E304" i="1"/>
  <c r="C304" i="1"/>
  <c r="J303" i="1"/>
  <c r="H303" i="1"/>
  <c r="E303" i="1"/>
  <c r="C303" i="1"/>
  <c r="J302" i="1"/>
  <c r="H302" i="1"/>
  <c r="E302" i="1"/>
  <c r="C302" i="1"/>
  <c r="J301" i="1"/>
  <c r="H301" i="1"/>
  <c r="E301" i="1"/>
  <c r="J298" i="1"/>
  <c r="H298" i="1"/>
  <c r="E298" i="1"/>
  <c r="C298" i="1"/>
  <c r="J297" i="1"/>
  <c r="H297" i="1"/>
  <c r="E297" i="1"/>
  <c r="C297" i="1"/>
  <c r="J296" i="1"/>
  <c r="H296" i="1"/>
  <c r="E296" i="1"/>
  <c r="C296" i="1"/>
  <c r="J295" i="1"/>
  <c r="H295" i="1"/>
  <c r="E295" i="1"/>
  <c r="J292" i="1"/>
  <c r="H292" i="1"/>
  <c r="E292" i="1"/>
  <c r="C292" i="1"/>
  <c r="J291" i="1"/>
  <c r="H291" i="1"/>
  <c r="E291" i="1"/>
  <c r="C291" i="1"/>
  <c r="J290" i="1"/>
  <c r="H290" i="1"/>
  <c r="E290" i="1"/>
  <c r="C290" i="1"/>
  <c r="J289" i="1"/>
  <c r="H289" i="1"/>
  <c r="E289" i="1"/>
  <c r="J286" i="1"/>
  <c r="H286" i="1"/>
  <c r="E286" i="1"/>
  <c r="C286" i="1"/>
  <c r="J285" i="1"/>
  <c r="H285" i="1"/>
  <c r="E285" i="1"/>
  <c r="C285" i="1"/>
  <c r="J284" i="1"/>
  <c r="H284" i="1"/>
  <c r="E284" i="1"/>
  <c r="C284" i="1"/>
  <c r="J283" i="1"/>
  <c r="H283" i="1"/>
  <c r="E283" i="1"/>
  <c r="J280" i="1"/>
  <c r="H280" i="1"/>
  <c r="E280" i="1"/>
  <c r="C280" i="1"/>
  <c r="J279" i="1"/>
  <c r="H279" i="1"/>
  <c r="E279" i="1"/>
  <c r="C279" i="1"/>
  <c r="J278" i="1"/>
  <c r="H278" i="1"/>
  <c r="E278" i="1"/>
  <c r="C278" i="1"/>
  <c r="J277" i="1"/>
  <c r="H277" i="1"/>
  <c r="E277" i="1"/>
  <c r="J274" i="1"/>
  <c r="H274" i="1"/>
  <c r="E274" i="1"/>
  <c r="C274" i="1"/>
  <c r="J273" i="1"/>
  <c r="H273" i="1"/>
  <c r="E273" i="1"/>
  <c r="C273" i="1"/>
  <c r="J272" i="1"/>
  <c r="H272" i="1"/>
  <c r="E272" i="1"/>
  <c r="C272" i="1"/>
  <c r="J271" i="1"/>
  <c r="H271" i="1"/>
  <c r="E271" i="1"/>
  <c r="J268" i="1"/>
  <c r="H268" i="1"/>
  <c r="E268" i="1"/>
  <c r="C268" i="1"/>
  <c r="J267" i="1"/>
  <c r="H267" i="1"/>
  <c r="E267" i="1"/>
  <c r="C267" i="1"/>
  <c r="J266" i="1"/>
  <c r="H266" i="1"/>
  <c r="E266" i="1"/>
  <c r="C266" i="1"/>
  <c r="J265" i="1"/>
  <c r="H265" i="1"/>
  <c r="E265" i="1"/>
  <c r="J262" i="1"/>
  <c r="H262" i="1"/>
  <c r="E262" i="1"/>
  <c r="C262" i="1"/>
  <c r="J261" i="1"/>
  <c r="H261" i="1"/>
  <c r="E261" i="1"/>
  <c r="C261" i="1"/>
  <c r="J260" i="1"/>
  <c r="H260" i="1"/>
  <c r="E260" i="1"/>
  <c r="C260" i="1"/>
  <c r="J259" i="1"/>
  <c r="H259" i="1"/>
  <c r="E259" i="1"/>
  <c r="J256" i="1"/>
  <c r="H256" i="1"/>
  <c r="E256" i="1"/>
  <c r="C256" i="1"/>
  <c r="J255" i="1"/>
  <c r="H255" i="1"/>
  <c r="E255" i="1"/>
  <c r="C255" i="1"/>
  <c r="J254" i="1"/>
  <c r="H254" i="1"/>
  <c r="E254" i="1"/>
  <c r="C254" i="1"/>
  <c r="J253" i="1"/>
  <c r="H253" i="1"/>
  <c r="E253" i="1"/>
  <c r="J250" i="1"/>
  <c r="H250" i="1"/>
  <c r="E250" i="1"/>
  <c r="C250" i="1"/>
  <c r="J249" i="1"/>
  <c r="H249" i="1"/>
  <c r="E249" i="1"/>
  <c r="C249" i="1"/>
  <c r="J248" i="1"/>
  <c r="H248" i="1"/>
  <c r="E248" i="1"/>
  <c r="C248" i="1"/>
  <c r="J247" i="1"/>
  <c r="H247" i="1"/>
  <c r="E247" i="1"/>
  <c r="J244" i="1"/>
  <c r="H244" i="1"/>
  <c r="E244" i="1"/>
  <c r="C244" i="1"/>
  <c r="J243" i="1"/>
  <c r="H243" i="1"/>
  <c r="E243" i="1"/>
  <c r="C243" i="1"/>
  <c r="J242" i="1"/>
  <c r="H242" i="1"/>
  <c r="E242" i="1"/>
  <c r="C242" i="1"/>
  <c r="J241" i="1"/>
  <c r="H241" i="1"/>
  <c r="E241" i="1"/>
  <c r="J238" i="1"/>
  <c r="H238" i="1"/>
  <c r="E238" i="1"/>
  <c r="C238" i="1"/>
  <c r="J237" i="1"/>
  <c r="H237" i="1"/>
  <c r="E237" i="1"/>
  <c r="C237" i="1"/>
  <c r="J236" i="1"/>
  <c r="H236" i="1"/>
  <c r="E236" i="1"/>
  <c r="C236" i="1"/>
  <c r="J235" i="1"/>
  <c r="H235" i="1"/>
  <c r="E235" i="1"/>
  <c r="J232" i="1"/>
  <c r="H232" i="1"/>
  <c r="E232" i="1"/>
  <c r="C232" i="1"/>
  <c r="J231" i="1"/>
  <c r="H231" i="1"/>
  <c r="E231" i="1"/>
  <c r="C231" i="1"/>
  <c r="J230" i="1"/>
  <c r="H230" i="1"/>
  <c r="E230" i="1"/>
  <c r="C230" i="1"/>
  <c r="J229" i="1"/>
  <c r="H229" i="1"/>
  <c r="E229" i="1"/>
  <c r="J226" i="1"/>
  <c r="H226" i="1"/>
  <c r="E226" i="1"/>
  <c r="C226" i="1"/>
  <c r="J225" i="1"/>
  <c r="H225" i="1"/>
  <c r="E225" i="1"/>
  <c r="C225" i="1"/>
  <c r="J224" i="1"/>
  <c r="H224" i="1"/>
  <c r="E224" i="1"/>
  <c r="C224" i="1"/>
  <c r="J223" i="1"/>
  <c r="H223" i="1"/>
  <c r="E223" i="1"/>
  <c r="J220" i="1"/>
  <c r="H220" i="1"/>
  <c r="E220" i="1"/>
  <c r="C220" i="1"/>
  <c r="J219" i="1"/>
  <c r="H219" i="1"/>
  <c r="E219" i="1"/>
  <c r="C219" i="1"/>
  <c r="J218" i="1"/>
  <c r="H218" i="1"/>
  <c r="E218" i="1"/>
  <c r="C218" i="1"/>
  <c r="J217" i="1"/>
  <c r="H217" i="1"/>
  <c r="E217" i="1"/>
  <c r="J214" i="1"/>
  <c r="H214" i="1"/>
  <c r="E214" i="1"/>
  <c r="C214" i="1"/>
  <c r="J213" i="1"/>
  <c r="H213" i="1"/>
  <c r="E213" i="1"/>
  <c r="C213" i="1"/>
  <c r="J212" i="1"/>
  <c r="H212" i="1"/>
  <c r="E212" i="1"/>
  <c r="C212" i="1"/>
  <c r="J211" i="1"/>
  <c r="H211" i="1"/>
  <c r="E211" i="1"/>
  <c r="J208" i="1"/>
  <c r="H208" i="1"/>
  <c r="E208" i="1"/>
  <c r="C208" i="1"/>
  <c r="J207" i="1"/>
  <c r="H207" i="1"/>
  <c r="E207" i="1"/>
  <c r="C207" i="1"/>
  <c r="J206" i="1"/>
  <c r="H206" i="1"/>
  <c r="E206" i="1"/>
  <c r="C206" i="1"/>
  <c r="J205" i="1"/>
  <c r="H205" i="1"/>
  <c r="E205" i="1"/>
  <c r="J202" i="1"/>
  <c r="H202" i="1"/>
  <c r="E202" i="1"/>
  <c r="C202" i="1"/>
  <c r="J201" i="1"/>
  <c r="H201" i="1"/>
  <c r="E201" i="1"/>
  <c r="C201" i="1"/>
  <c r="J200" i="1"/>
  <c r="H200" i="1"/>
  <c r="E200" i="1"/>
  <c r="C200" i="1"/>
  <c r="J199" i="1"/>
  <c r="H199" i="1"/>
  <c r="E199" i="1"/>
  <c r="J196" i="1"/>
  <c r="H196" i="1"/>
  <c r="E196" i="1"/>
  <c r="C196" i="1"/>
  <c r="J195" i="1"/>
  <c r="H195" i="1"/>
  <c r="E195" i="1"/>
  <c r="C195" i="1"/>
  <c r="J194" i="1"/>
  <c r="H194" i="1"/>
  <c r="E194" i="1"/>
  <c r="C194" i="1"/>
  <c r="J193" i="1"/>
  <c r="H193" i="1"/>
  <c r="E193" i="1"/>
  <c r="J190" i="1"/>
  <c r="H190" i="1"/>
  <c r="E190" i="1"/>
  <c r="C190" i="1"/>
  <c r="J189" i="1"/>
  <c r="H189" i="1"/>
  <c r="E189" i="1"/>
  <c r="C189" i="1"/>
  <c r="J188" i="1"/>
  <c r="H188" i="1"/>
  <c r="E188" i="1"/>
  <c r="C188" i="1"/>
  <c r="J187" i="1"/>
  <c r="H187" i="1"/>
  <c r="E187" i="1"/>
  <c r="J184" i="1"/>
  <c r="H184" i="1"/>
  <c r="E184" i="1"/>
  <c r="C184" i="1"/>
  <c r="J183" i="1"/>
  <c r="H183" i="1"/>
  <c r="E183" i="1"/>
  <c r="C183" i="1"/>
  <c r="J182" i="1"/>
  <c r="H182" i="1"/>
  <c r="E182" i="1"/>
  <c r="C182" i="1"/>
  <c r="J181" i="1"/>
  <c r="H181" i="1"/>
  <c r="E181" i="1"/>
  <c r="J178" i="1"/>
  <c r="H178" i="1"/>
  <c r="E178" i="1"/>
  <c r="C178" i="1"/>
  <c r="J177" i="1"/>
  <c r="H177" i="1"/>
  <c r="E177" i="1"/>
  <c r="C177" i="1"/>
  <c r="J176" i="1"/>
  <c r="H176" i="1"/>
  <c r="E176" i="1"/>
  <c r="C176" i="1"/>
  <c r="J175" i="1"/>
  <c r="H175" i="1"/>
  <c r="E175" i="1"/>
  <c r="J172" i="1"/>
  <c r="H172" i="1"/>
  <c r="E172" i="1"/>
  <c r="C172" i="1"/>
  <c r="J171" i="1"/>
  <c r="H171" i="1"/>
  <c r="E171" i="1"/>
  <c r="C171" i="1"/>
  <c r="J170" i="1"/>
  <c r="H170" i="1"/>
  <c r="E170" i="1"/>
  <c r="C170" i="1"/>
  <c r="J169" i="1"/>
  <c r="H169" i="1"/>
  <c r="E169" i="1"/>
  <c r="J166" i="1"/>
  <c r="H166" i="1"/>
  <c r="E166" i="1"/>
  <c r="C166" i="1"/>
  <c r="J165" i="1"/>
  <c r="H165" i="1"/>
  <c r="E165" i="1"/>
  <c r="C165" i="1"/>
  <c r="J164" i="1"/>
  <c r="H164" i="1"/>
  <c r="E164" i="1"/>
  <c r="C164" i="1"/>
  <c r="J163" i="1"/>
  <c r="H163" i="1"/>
  <c r="E163" i="1"/>
  <c r="J160" i="1"/>
  <c r="H160" i="1"/>
  <c r="E160" i="1"/>
  <c r="C160" i="1"/>
  <c r="J159" i="1"/>
  <c r="H159" i="1"/>
  <c r="E159" i="1"/>
  <c r="C159" i="1"/>
  <c r="J158" i="1"/>
  <c r="H158" i="1"/>
  <c r="E158" i="1"/>
  <c r="C158" i="1"/>
  <c r="J157" i="1"/>
  <c r="H157" i="1"/>
  <c r="E157" i="1"/>
  <c r="J154" i="1"/>
  <c r="H154" i="1"/>
  <c r="E154" i="1"/>
  <c r="C154" i="1"/>
  <c r="J153" i="1"/>
  <c r="H153" i="1"/>
  <c r="E153" i="1"/>
  <c r="C153" i="1"/>
  <c r="J152" i="1"/>
  <c r="H152" i="1"/>
  <c r="E152" i="1"/>
  <c r="C152" i="1"/>
  <c r="J151" i="1"/>
  <c r="H151" i="1"/>
  <c r="E151" i="1"/>
  <c r="J148" i="1"/>
  <c r="H148" i="1"/>
  <c r="E148" i="1"/>
  <c r="C148" i="1"/>
  <c r="J147" i="1"/>
  <c r="H147" i="1"/>
  <c r="E147" i="1"/>
  <c r="C147" i="1"/>
  <c r="J146" i="1"/>
  <c r="H146" i="1"/>
  <c r="E146" i="1"/>
  <c r="C146" i="1"/>
  <c r="J145" i="1"/>
  <c r="H145" i="1"/>
  <c r="E145" i="1"/>
  <c r="J142" i="1"/>
  <c r="H142" i="1"/>
  <c r="E142" i="1"/>
  <c r="C142" i="1"/>
  <c r="J141" i="1"/>
  <c r="H141" i="1"/>
  <c r="E141" i="1"/>
  <c r="C141" i="1"/>
  <c r="J140" i="1"/>
  <c r="H140" i="1"/>
  <c r="E140" i="1"/>
  <c r="C140" i="1"/>
  <c r="J139" i="1"/>
  <c r="H139" i="1"/>
  <c r="E139" i="1"/>
  <c r="J136" i="1"/>
  <c r="H136" i="1"/>
  <c r="E136" i="1"/>
  <c r="C136" i="1"/>
  <c r="J135" i="1"/>
  <c r="H135" i="1"/>
  <c r="E135" i="1"/>
  <c r="C135" i="1"/>
  <c r="J134" i="1"/>
  <c r="H134" i="1"/>
  <c r="E134" i="1"/>
  <c r="C134" i="1"/>
  <c r="J133" i="1"/>
  <c r="H133" i="1"/>
  <c r="E133" i="1"/>
  <c r="J130" i="1"/>
  <c r="H130" i="1"/>
  <c r="E130" i="1"/>
  <c r="C130" i="1"/>
  <c r="J129" i="1"/>
  <c r="H129" i="1"/>
  <c r="E129" i="1"/>
  <c r="C129" i="1"/>
  <c r="J128" i="1"/>
  <c r="H128" i="1"/>
  <c r="E128" i="1"/>
  <c r="C128" i="1"/>
  <c r="J127" i="1"/>
  <c r="H127" i="1"/>
  <c r="E127" i="1"/>
  <c r="J124" i="1"/>
  <c r="H124" i="1"/>
  <c r="E124" i="1"/>
  <c r="C124" i="1"/>
  <c r="J123" i="1"/>
  <c r="H123" i="1"/>
  <c r="E123" i="1"/>
  <c r="C123" i="1"/>
  <c r="J122" i="1"/>
  <c r="H122" i="1"/>
  <c r="E122" i="1"/>
  <c r="C122" i="1"/>
  <c r="J121" i="1"/>
  <c r="H121" i="1"/>
  <c r="E121" i="1"/>
  <c r="J118" i="1"/>
  <c r="H118" i="1"/>
  <c r="E118" i="1"/>
  <c r="C118" i="1"/>
  <c r="J117" i="1"/>
  <c r="H117" i="1"/>
  <c r="E117" i="1"/>
  <c r="C117" i="1"/>
  <c r="J116" i="1"/>
  <c r="H116" i="1"/>
  <c r="E116" i="1"/>
  <c r="C116" i="1"/>
  <c r="J115" i="1"/>
  <c r="H115" i="1"/>
  <c r="E115" i="1"/>
  <c r="J112" i="1"/>
  <c r="H112" i="1"/>
  <c r="E112" i="1"/>
  <c r="C112" i="1"/>
  <c r="J111" i="1"/>
  <c r="H111" i="1"/>
  <c r="E111" i="1"/>
  <c r="C111" i="1"/>
  <c r="J110" i="1"/>
  <c r="H110" i="1"/>
  <c r="E110" i="1"/>
  <c r="C110" i="1"/>
  <c r="J109" i="1"/>
  <c r="H109" i="1"/>
  <c r="E109" i="1"/>
  <c r="J105" i="1"/>
  <c r="H105" i="1"/>
  <c r="E105" i="1"/>
  <c r="C105" i="1"/>
  <c r="J104" i="1"/>
  <c r="H104" i="1"/>
  <c r="E104" i="1"/>
  <c r="C104" i="1"/>
  <c r="J103" i="1"/>
  <c r="H103" i="1"/>
  <c r="E103" i="1"/>
  <c r="J99" i="1"/>
  <c r="H99" i="1"/>
  <c r="E99" i="1"/>
  <c r="C99" i="1"/>
  <c r="J98" i="1"/>
  <c r="H98" i="1"/>
  <c r="E98" i="1"/>
  <c r="C98" i="1"/>
  <c r="J97" i="1"/>
  <c r="H97" i="1"/>
  <c r="E97" i="1"/>
  <c r="J93" i="1"/>
  <c r="H93" i="1"/>
  <c r="E93" i="1"/>
  <c r="C93" i="1"/>
  <c r="J92" i="1"/>
  <c r="H92" i="1"/>
  <c r="E92" i="1"/>
  <c r="C92" i="1"/>
  <c r="J91" i="1"/>
  <c r="H91" i="1"/>
  <c r="E91" i="1"/>
  <c r="J87" i="1"/>
  <c r="H87" i="1"/>
  <c r="E87" i="1"/>
  <c r="C87" i="1"/>
  <c r="J86" i="1"/>
  <c r="H86" i="1"/>
  <c r="E86" i="1"/>
  <c r="C86" i="1"/>
  <c r="J85" i="1"/>
  <c r="H85" i="1"/>
  <c r="E85" i="1"/>
  <c r="J81" i="1"/>
  <c r="H81" i="1"/>
  <c r="E81" i="1"/>
  <c r="C81" i="1"/>
  <c r="J80" i="1"/>
  <c r="H80" i="1"/>
  <c r="E80" i="1"/>
  <c r="C80" i="1"/>
  <c r="J79" i="1"/>
  <c r="H79" i="1"/>
  <c r="E79" i="1"/>
  <c r="J75" i="1"/>
  <c r="H75" i="1"/>
  <c r="E75" i="1"/>
  <c r="C75" i="1"/>
  <c r="J74" i="1"/>
  <c r="H74" i="1"/>
  <c r="E74" i="1"/>
  <c r="C74" i="1"/>
  <c r="J73" i="1"/>
  <c r="H73" i="1"/>
  <c r="E73" i="1"/>
  <c r="J69" i="1"/>
  <c r="H69" i="1"/>
  <c r="E69" i="1"/>
  <c r="C69" i="1"/>
  <c r="J68" i="1"/>
  <c r="H68" i="1"/>
  <c r="E68" i="1"/>
  <c r="C68" i="1"/>
  <c r="J67" i="1"/>
  <c r="H67" i="1"/>
  <c r="E67" i="1"/>
  <c r="J63" i="1"/>
  <c r="H63" i="1"/>
  <c r="E63" i="1"/>
  <c r="C63" i="1"/>
  <c r="J62" i="1"/>
  <c r="H62" i="1"/>
  <c r="E62" i="1"/>
  <c r="C62" i="1"/>
  <c r="J61" i="1"/>
  <c r="H61" i="1"/>
  <c r="E61" i="1"/>
  <c r="J57" i="1"/>
  <c r="H57" i="1"/>
  <c r="E57" i="1"/>
  <c r="C57" i="1"/>
  <c r="J56" i="1"/>
  <c r="H56" i="1"/>
  <c r="E56" i="1"/>
  <c r="C56" i="1"/>
  <c r="J55" i="1"/>
  <c r="H55" i="1"/>
  <c r="E55" i="1"/>
  <c r="J51" i="1"/>
  <c r="H51" i="1"/>
  <c r="E51" i="1"/>
  <c r="C51" i="1"/>
  <c r="J50" i="1"/>
  <c r="H50" i="1"/>
  <c r="E50" i="1"/>
  <c r="C50" i="1"/>
  <c r="J49" i="1"/>
  <c r="H49" i="1"/>
  <c r="E49" i="1"/>
  <c r="J45" i="1"/>
  <c r="H45" i="1"/>
  <c r="E45" i="1"/>
  <c r="C45" i="1"/>
  <c r="J44" i="1"/>
  <c r="H44" i="1"/>
  <c r="E44" i="1"/>
  <c r="C44" i="1"/>
  <c r="J43" i="1"/>
  <c r="H43" i="1"/>
  <c r="E43" i="1"/>
  <c r="J39" i="1"/>
  <c r="H39" i="1"/>
  <c r="E39" i="1"/>
  <c r="C39" i="1"/>
  <c r="J38" i="1"/>
  <c r="H38" i="1"/>
  <c r="E38" i="1"/>
  <c r="C38" i="1"/>
  <c r="J37" i="1"/>
  <c r="H37" i="1"/>
  <c r="E37" i="1"/>
  <c r="J33" i="1"/>
  <c r="H33" i="1"/>
  <c r="E33" i="1"/>
  <c r="C33" i="1"/>
  <c r="J32" i="1"/>
  <c r="H32" i="1"/>
  <c r="E32" i="1"/>
  <c r="C32" i="1"/>
  <c r="J31" i="1"/>
  <c r="H31" i="1"/>
  <c r="E31" i="1"/>
  <c r="J27" i="1"/>
  <c r="H27" i="1"/>
  <c r="E27" i="1"/>
  <c r="C27" i="1"/>
  <c r="J26" i="1"/>
  <c r="H26" i="1"/>
  <c r="E26" i="1"/>
  <c r="C26" i="1"/>
  <c r="J25" i="1"/>
  <c r="H25" i="1"/>
  <c r="E25" i="1"/>
  <c r="J21" i="1"/>
  <c r="H21" i="1"/>
  <c r="E21" i="1"/>
  <c r="C21" i="1"/>
  <c r="J20" i="1"/>
  <c r="H20" i="1"/>
  <c r="E20" i="1"/>
  <c r="C20" i="1"/>
  <c r="J19" i="1"/>
  <c r="H19" i="1"/>
  <c r="E19" i="1"/>
  <c r="J15" i="1"/>
  <c r="H15" i="1"/>
  <c r="E15" i="1"/>
  <c r="C15" i="1"/>
  <c r="J14" i="1"/>
  <c r="H14" i="1"/>
  <c r="E14" i="1"/>
  <c r="C14" i="1"/>
  <c r="J13" i="1"/>
  <c r="H13" i="1"/>
  <c r="E13" i="1"/>
  <c r="J8" i="1"/>
  <c r="H8" i="1"/>
  <c r="E8" i="1"/>
  <c r="AB9" i="1"/>
  <c r="AI9" i="1" s="1"/>
  <c r="AI7" i="1" s="1"/>
  <c r="J7" i="1" s="1"/>
  <c r="G24" i="22" l="1"/>
  <c r="J9" i="1"/>
  <c r="B7" i="3"/>
  <c r="J82" i="22"/>
  <c r="H82" i="22"/>
  <c r="D82" i="22"/>
  <c r="C82" i="22"/>
  <c r="B82" i="22"/>
  <c r="K82" i="22"/>
  <c r="I82" i="22"/>
  <c r="G82" i="22"/>
  <c r="F82" i="22"/>
  <c r="E82" i="22"/>
  <c r="J38" i="22"/>
  <c r="G38" i="22"/>
  <c r="K38" i="22"/>
  <c r="AK40" i="22"/>
  <c r="G65" i="22"/>
  <c r="AK67" i="22"/>
  <c r="G52" i="22"/>
  <c r="AK54" i="22"/>
  <c r="AK27" i="22"/>
  <c r="G26" i="22" s="1"/>
  <c r="AD30" i="11"/>
  <c r="D30" i="11" s="1"/>
  <c r="C35" i="11" s="1"/>
  <c r="AB37" i="11"/>
  <c r="AD37" i="11" s="1"/>
  <c r="D37" i="11" s="1"/>
  <c r="C9" i="1"/>
  <c r="C27" i="3"/>
  <c r="C35" i="3"/>
  <c r="C19" i="3"/>
  <c r="C11" i="3"/>
  <c r="C51" i="3"/>
  <c r="AD9" i="1"/>
  <c r="AG9" i="1"/>
  <c r="D313" i="1"/>
  <c r="G312" i="1"/>
  <c r="D312" i="1"/>
  <c r="D307" i="1"/>
  <c r="G306" i="1"/>
  <c r="D306" i="1"/>
  <c r="D301" i="1"/>
  <c r="G300" i="1"/>
  <c r="D300" i="1"/>
  <c r="D295" i="1"/>
  <c r="G294" i="1"/>
  <c r="D294" i="1"/>
  <c r="D289" i="1"/>
  <c r="G288" i="1"/>
  <c r="D288" i="1"/>
  <c r="D283" i="1"/>
  <c r="G282" i="1"/>
  <c r="D282" i="1"/>
  <c r="D277" i="1"/>
  <c r="G276" i="1"/>
  <c r="D276" i="1"/>
  <c r="D271" i="1"/>
  <c r="G270" i="1"/>
  <c r="D270" i="1"/>
  <c r="D265" i="1"/>
  <c r="G264" i="1"/>
  <c r="D264" i="1"/>
  <c r="D259" i="1"/>
  <c r="G258" i="1"/>
  <c r="D258" i="1"/>
  <c r="D253" i="1"/>
  <c r="G252" i="1"/>
  <c r="D252" i="1"/>
  <c r="D247" i="1"/>
  <c r="G246" i="1"/>
  <c r="D246" i="1"/>
  <c r="D241" i="1"/>
  <c r="G240" i="1"/>
  <c r="D240" i="1"/>
  <c r="D235" i="1"/>
  <c r="G234" i="1"/>
  <c r="D234" i="1"/>
  <c r="D229" i="1"/>
  <c r="G228" i="1"/>
  <c r="D228" i="1"/>
  <c r="D223" i="1"/>
  <c r="G222" i="1"/>
  <c r="D222" i="1"/>
  <c r="D217" i="1"/>
  <c r="G216" i="1"/>
  <c r="D216" i="1"/>
  <c r="D211" i="1"/>
  <c r="G210" i="1"/>
  <c r="D210" i="1"/>
  <c r="D205" i="1"/>
  <c r="G204" i="1"/>
  <c r="D204" i="1"/>
  <c r="D199" i="1"/>
  <c r="G198" i="1"/>
  <c r="D198" i="1"/>
  <c r="D193" i="1"/>
  <c r="G192" i="1"/>
  <c r="D192" i="1"/>
  <c r="D187" i="1"/>
  <c r="G186" i="1"/>
  <c r="D186" i="1"/>
  <c r="D181" i="1"/>
  <c r="G180" i="1"/>
  <c r="D180" i="1"/>
  <c r="D175" i="1"/>
  <c r="G174" i="1"/>
  <c r="D174" i="1"/>
  <c r="D169" i="1"/>
  <c r="G168" i="1"/>
  <c r="D168" i="1"/>
  <c r="D163" i="1"/>
  <c r="G162" i="1"/>
  <c r="D162" i="1"/>
  <c r="D157" i="1"/>
  <c r="G156" i="1"/>
  <c r="D156" i="1"/>
  <c r="D151" i="1"/>
  <c r="G150" i="1"/>
  <c r="D150" i="1"/>
  <c r="D145" i="1"/>
  <c r="G144" i="1"/>
  <c r="D144" i="1"/>
  <c r="D139" i="1"/>
  <c r="G138" i="1"/>
  <c r="D138" i="1"/>
  <c r="D133" i="1"/>
  <c r="G132" i="1"/>
  <c r="D132" i="1"/>
  <c r="D127" i="1"/>
  <c r="G126" i="1"/>
  <c r="D126" i="1"/>
  <c r="D121" i="1"/>
  <c r="G120" i="1"/>
  <c r="D120" i="1"/>
  <c r="D115" i="1"/>
  <c r="G114" i="1"/>
  <c r="D114" i="1"/>
  <c r="D109" i="1"/>
  <c r="G108" i="1"/>
  <c r="D108" i="1"/>
  <c r="D103" i="1"/>
  <c r="G102" i="1"/>
  <c r="D102" i="1"/>
  <c r="D97" i="1"/>
  <c r="G96" i="1"/>
  <c r="D96" i="1"/>
  <c r="D91" i="1"/>
  <c r="G90" i="1"/>
  <c r="D90" i="1"/>
  <c r="D85" i="1"/>
  <c r="G84" i="1"/>
  <c r="D84" i="1"/>
  <c r="D79" i="1"/>
  <c r="G78" i="1"/>
  <c r="D78" i="1"/>
  <c r="D73" i="1"/>
  <c r="G72" i="1"/>
  <c r="D72" i="1"/>
  <c r="D67" i="1"/>
  <c r="G66" i="1"/>
  <c r="D66" i="1"/>
  <c r="D61" i="1"/>
  <c r="G60" i="1"/>
  <c r="D60" i="1"/>
  <c r="D55" i="1"/>
  <c r="G54" i="1"/>
  <c r="D54" i="1"/>
  <c r="D49" i="1"/>
  <c r="G48" i="1"/>
  <c r="D48" i="1"/>
  <c r="D43" i="1"/>
  <c r="G42" i="1"/>
  <c r="D42" i="1"/>
  <c r="D37" i="1"/>
  <c r="G36" i="1"/>
  <c r="D36" i="1"/>
  <c r="D31" i="1"/>
  <c r="G30" i="1"/>
  <c r="D30" i="1"/>
  <c r="D25" i="1"/>
  <c r="G24" i="1"/>
  <c r="D24" i="1"/>
  <c r="D19" i="1"/>
  <c r="G18" i="1"/>
  <c r="D18" i="1"/>
  <c r="D13" i="1"/>
  <c r="G12" i="1"/>
  <c r="D12" i="1"/>
  <c r="D7" i="1"/>
  <c r="G6" i="1"/>
  <c r="D6" i="1"/>
  <c r="K39" i="22" l="1"/>
  <c r="J39" i="22"/>
  <c r="G39" i="22"/>
  <c r="AK41" i="22"/>
  <c r="AK68" i="22"/>
  <c r="G66" i="22"/>
  <c r="AK55" i="22"/>
  <c r="G53" i="22"/>
  <c r="AK28" i="22"/>
  <c r="G27" i="22" s="1"/>
  <c r="AD7" i="1"/>
  <c r="E7" i="1" s="1"/>
  <c r="E9" i="1"/>
  <c r="AG7" i="1"/>
  <c r="H7" i="1" s="1"/>
  <c r="H9" i="1"/>
  <c r="AJ44" i="11"/>
  <c r="F47" i="11" s="1" a="1"/>
  <c r="F47" i="11" s="1"/>
  <c r="K40" i="22" l="1"/>
  <c r="J40" i="22"/>
  <c r="G40" i="22"/>
  <c r="AK42" i="22"/>
  <c r="AK69" i="22"/>
  <c r="G67" i="22"/>
  <c r="G54" i="22"/>
  <c r="AK56" i="22"/>
  <c r="AK57" i="22" s="1"/>
  <c r="AK29" i="22"/>
  <c r="AK30" i="22" s="1"/>
  <c r="K41" i="22" l="1"/>
  <c r="J41" i="22"/>
  <c r="G41" i="22"/>
  <c r="I56" i="22"/>
  <c r="C56" i="22"/>
  <c r="B56" i="22"/>
  <c r="F56" i="22"/>
  <c r="K56" i="22"/>
  <c r="J56" i="22"/>
  <c r="H56" i="22"/>
  <c r="D56" i="22"/>
  <c r="G56" i="22"/>
  <c r="E56" i="22"/>
  <c r="E69" i="22"/>
  <c r="C69" i="22"/>
  <c r="F69" i="22"/>
  <c r="I69" i="22"/>
  <c r="K69" i="22"/>
  <c r="D69" i="22"/>
  <c r="G69" i="22"/>
  <c r="J69" i="22"/>
  <c r="H69" i="22"/>
  <c r="B69" i="22"/>
  <c r="AK43" i="22"/>
  <c r="K68" i="22"/>
  <c r="J68" i="22"/>
  <c r="H68" i="22"/>
  <c r="E68" i="22"/>
  <c r="D68" i="22"/>
  <c r="C68" i="22"/>
  <c r="G68" i="22"/>
  <c r="I68" i="22"/>
  <c r="F68" i="22"/>
  <c r="B68" i="22"/>
  <c r="D55" i="22"/>
  <c r="C55" i="22"/>
  <c r="B55" i="22"/>
  <c r="J55" i="22"/>
  <c r="I55" i="22"/>
  <c r="F55" i="22"/>
  <c r="K55" i="22"/>
  <c r="H55" i="22"/>
  <c r="G55" i="22"/>
  <c r="E55" i="22"/>
  <c r="C29" i="22"/>
  <c r="D29" i="22"/>
  <c r="E29" i="22"/>
  <c r="F29" i="22"/>
  <c r="G29" i="22"/>
  <c r="H29" i="22"/>
  <c r="J29" i="22"/>
  <c r="I29" i="22"/>
  <c r="K29" i="22"/>
  <c r="B29" i="22"/>
  <c r="K28" i="22"/>
  <c r="B28" i="22"/>
  <c r="C28" i="22"/>
  <c r="D28" i="22"/>
  <c r="E28" i="22"/>
  <c r="F28" i="22"/>
  <c r="H28" i="22"/>
  <c r="I28" i="22"/>
  <c r="G28" i="22"/>
  <c r="J28" i="22"/>
  <c r="E8" i="22"/>
  <c r="J8" i="22"/>
  <c r="D8" i="22"/>
  <c r="I8" i="22"/>
  <c r="B8" i="22"/>
  <c r="H8" i="22"/>
  <c r="G8" i="22"/>
  <c r="K8" i="22"/>
  <c r="F8" i="22"/>
  <c r="C8" i="22"/>
  <c r="AK10" i="22"/>
  <c r="J9" i="22" s="1"/>
  <c r="G42" i="22" l="1"/>
  <c r="K42" i="22"/>
  <c r="J42" i="22"/>
  <c r="I42" i="22"/>
  <c r="F42" i="22"/>
  <c r="E42" i="22"/>
  <c r="D42" i="22"/>
  <c r="B42" i="22"/>
  <c r="C42" i="22"/>
  <c r="H42" i="22"/>
  <c r="AK44" i="22"/>
  <c r="K9" i="22"/>
  <c r="AK11" i="22"/>
  <c r="G43" i="22" l="1"/>
  <c r="K43" i="22"/>
  <c r="J43" i="22"/>
  <c r="I43" i="22"/>
  <c r="H43" i="22"/>
  <c r="F43" i="22"/>
  <c r="E43" i="22"/>
  <c r="C43" i="22"/>
  <c r="D43" i="22"/>
  <c r="B43" i="22"/>
  <c r="G10" i="22"/>
  <c r="J10" i="22"/>
  <c r="AK12" i="22"/>
  <c r="K10" i="22"/>
  <c r="K11" i="22" l="1"/>
  <c r="J11" i="22"/>
  <c r="G11" i="22"/>
  <c r="AK13" i="22"/>
  <c r="J12" i="22" l="1"/>
  <c r="K12" i="22"/>
  <c r="G12" i="22"/>
  <c r="AK14" i="22"/>
  <c r="J13" i="22" l="1"/>
  <c r="G13" i="22"/>
  <c r="K13" i="22"/>
  <c r="AK15" i="22"/>
  <c r="AK16" i="22" l="1"/>
  <c r="AK17" i="22" s="1"/>
  <c r="G14" i="22"/>
  <c r="K14" i="22"/>
  <c r="J14" i="22"/>
  <c r="E15" i="22" l="1"/>
  <c r="K15" i="22"/>
  <c r="J15" i="22"/>
  <c r="H15" i="22"/>
  <c r="B15" i="22"/>
  <c r="F15" i="22"/>
  <c r="D15" i="22"/>
  <c r="C15" i="22"/>
  <c r="G15" i="22"/>
  <c r="I15" i="22"/>
  <c r="E16" i="22" l="1"/>
  <c r="D16" i="22"/>
  <c r="I16" i="22"/>
  <c r="F16" i="22"/>
  <c r="J16" i="22"/>
  <c r="H16" i="22"/>
  <c r="G16" i="22"/>
  <c r="K16" i="22"/>
  <c r="C16" i="22"/>
  <c r="B1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Hulab</author>
  </authors>
  <commentList>
    <comment ref="D3" authorId="0" shapeId="0" xr:uid="{2BFADE8F-F25E-49B6-9893-B8E217281D55}">
      <text>
        <r>
          <rPr>
            <sz val="9"/>
            <color indexed="81"/>
            <rFont val="Tahoma"/>
            <family val="2"/>
          </rPr>
          <t>I nogle opgaver har jeg lavet et lille tip, der kan hjælpe med at løse opgaven</t>
        </r>
      </text>
    </comment>
    <comment ref="C8" authorId="0" shapeId="0" xr:uid="{B007A84D-FF4B-4164-A3EF-7CFD3D399537}">
      <text>
        <r>
          <rPr>
            <b/>
            <sz val="9"/>
            <color indexed="81"/>
            <rFont val="Tahoma"/>
            <family val="2"/>
          </rPr>
          <t xml:space="preserve">Tip:
</t>
        </r>
        <r>
          <rPr>
            <sz val="9"/>
            <color indexed="81"/>
            <rFont val="Tahoma"/>
            <family val="2"/>
          </rPr>
          <t>Slå atomnummeret op i det periodiske system</t>
        </r>
      </text>
    </comment>
    <comment ref="C9" authorId="0" shapeId="0" xr:uid="{15748DD9-BEB8-4351-A3F7-81A0C30E05A3}">
      <text>
        <r>
          <rPr>
            <b/>
            <sz val="9"/>
            <color indexed="81"/>
            <rFont val="Tahoma"/>
            <family val="2"/>
          </rPr>
          <t xml:space="preserve">Tip:
</t>
        </r>
        <r>
          <rPr>
            <sz val="9"/>
            <color indexed="81"/>
            <rFont val="Tahoma"/>
            <family val="2"/>
          </rPr>
          <t>Bemærk at nukleontallet er 23, hvilket angiver antal protoner + antal neutroner</t>
        </r>
      </text>
    </comment>
    <comment ref="C10" authorId="0" shapeId="0" xr:uid="{6E49BFD9-87A5-40BF-A07D-658EC92DCD73}">
      <text>
        <r>
          <rPr>
            <b/>
            <sz val="9"/>
            <color indexed="81"/>
            <rFont val="Tahoma"/>
            <family val="2"/>
          </rPr>
          <t xml:space="preserve">Tip:
</t>
        </r>
        <r>
          <rPr>
            <sz val="9"/>
            <color indexed="81"/>
            <rFont val="Tahoma"/>
            <family val="2"/>
          </rPr>
          <t>For neutrale forbindelser er der lige mange elektroner og protroner.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Niels Kaldal Kræmmer</author>
    <author>Hulab</author>
  </authors>
  <commentList>
    <comment ref="C9" authorId="0" shapeId="0" xr:uid="{7092AA14-054D-4791-AB2C-FDBD00ED6D84}">
      <text>
        <r>
          <rPr>
            <b/>
            <sz val="9"/>
            <color indexed="81"/>
            <rFont val="Tahoma"/>
            <family val="2"/>
          </rPr>
          <t>Niels Kaldal Kræmmer:</t>
        </r>
        <r>
          <rPr>
            <sz val="9"/>
            <color indexed="81"/>
            <rFont val="Tahoma"/>
            <family val="2"/>
          </rPr>
          <t xml:space="preserve">
Bemærk at du kan beregne værdien i Excel.
Formlen er [H₃O⁺] = 10⁻ᵖᴴ. Fx hvis pH = 7 beregnes [H₃O⁺] i Excel ved at indtaste:
=10^(-7)</t>
        </r>
      </text>
    </comment>
    <comment ref="C10" authorId="1" shapeId="0" xr:uid="{87E2CEE1-1C82-40AD-97BF-915EA6BE5924}">
      <text>
        <r>
          <rPr>
            <b/>
            <sz val="9"/>
            <color indexed="81"/>
            <rFont val="Tahoma"/>
            <family val="2"/>
          </rPr>
          <t>Hulab:</t>
        </r>
        <r>
          <rPr>
            <sz val="9"/>
            <color indexed="81"/>
            <rFont val="Tahoma"/>
            <family val="2"/>
          </rPr>
          <t xml:space="preserve">
Værdien beregnes nemmest ved formlen:
pH + pOH = 14</t>
        </r>
      </text>
    </comment>
    <comment ref="C11" authorId="1" shapeId="0" xr:uid="{F03236E8-78F7-451D-BD9D-4074E81C75FE}">
      <text>
        <r>
          <rPr>
            <b/>
            <sz val="9"/>
            <color indexed="81"/>
            <rFont val="Tahoma"/>
            <family val="2"/>
          </rPr>
          <t>Hulab:</t>
        </r>
        <r>
          <rPr>
            <sz val="9"/>
            <color indexed="81"/>
            <rFont val="Tahoma"/>
            <family val="2"/>
          </rPr>
          <t xml:space="preserve">
Værdien beregnes enten ved:
[OH⁻]= (10⁻¹⁴ M²)/[H₃O⁺]
eller ved:
[OH⁻]=10⁻ᵖᴼᴴ </t>
        </r>
      </text>
    </comment>
    <comment ref="D43" authorId="0" shapeId="0" xr:uid="{A075F4E7-74B2-47D3-B145-0EDD0132E8CD}">
      <text>
        <r>
          <rPr>
            <b/>
            <sz val="9"/>
            <color indexed="81"/>
            <rFont val="Tahoma"/>
            <family val="2"/>
          </rPr>
          <t>Niels Kaldal Kræmmer:</t>
        </r>
        <r>
          <rPr>
            <sz val="9"/>
            <color indexed="81"/>
            <rFont val="Tahoma"/>
            <family val="2"/>
          </rPr>
          <t xml:space="preserve">
Bemærk at 6,00E-14 betyder 6,00∙10⁻¹⁴
Hvis du skal skrive 10⁻¹⁴, skal du skrive "1e-14" og altså ikke e-14 eller 10e-14</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Hulab</author>
  </authors>
  <commentList>
    <comment ref="C6" authorId="0" shapeId="0" xr:uid="{9C751018-430C-40C0-8608-60B8E25744B9}">
      <text>
        <r>
          <rPr>
            <b/>
            <sz val="9"/>
            <color indexed="81"/>
            <rFont val="Tahoma"/>
            <family val="2"/>
          </rPr>
          <t>Hulab:</t>
        </r>
        <r>
          <rPr>
            <sz val="9"/>
            <color indexed="81"/>
            <rFont val="Tahoma"/>
            <family val="2"/>
          </rPr>
          <t xml:space="preserve">
Bemærk at OT altid angives pr atom.
Oxygen har oftest oxidationstrinnet -II.</t>
        </r>
      </text>
    </comment>
    <comment ref="D6" authorId="0" shapeId="0" xr:uid="{B9B0A030-DF54-4E73-9D01-1293BEF6A1CC}">
      <text>
        <r>
          <rPr>
            <b/>
            <sz val="9"/>
            <color indexed="81"/>
            <rFont val="Tahoma"/>
            <family val="2"/>
          </rPr>
          <t>Hulab:</t>
        </r>
        <r>
          <rPr>
            <sz val="9"/>
            <color indexed="81"/>
            <rFont val="Tahoma"/>
            <family val="2"/>
          </rPr>
          <t xml:space="preserve">
Værdien er -4, fordi der er 2 oxygenatomer, der hver har OT-trinnet -II.
Værdien på -4 angiver, at oxygenatomerne i alt delvist/helt har optaget 4 negative elektroner</t>
        </r>
      </text>
    </comment>
    <comment ref="F6" authorId="0" shapeId="0" xr:uid="{51570618-7EC4-464B-AB31-B2948A346BB8}">
      <text>
        <r>
          <rPr>
            <b/>
            <sz val="9"/>
            <color indexed="81"/>
            <rFont val="Tahoma"/>
            <family val="2"/>
          </rPr>
          <t>Hulab:</t>
        </r>
        <r>
          <rPr>
            <sz val="9"/>
            <color indexed="81"/>
            <rFont val="Tahoma"/>
            <family val="2"/>
          </rPr>
          <t xml:space="preserve">
Formlens samlede ladning aflæses i højre hjørne. Hvis der er ikke står noget er ladningen 0.</t>
        </r>
      </text>
    </comment>
    <comment ref="G6" authorId="0" shapeId="0" xr:uid="{D7D6B41D-0C00-462C-B475-2836C0C5CBA7}">
      <text>
        <r>
          <rPr>
            <b/>
            <sz val="9"/>
            <color indexed="81"/>
            <rFont val="Tahoma"/>
            <family val="2"/>
          </rPr>
          <t>Hulab:</t>
        </r>
        <r>
          <rPr>
            <sz val="9"/>
            <color indexed="81"/>
            <rFont val="Tahoma"/>
            <family val="2"/>
          </rPr>
          <t xml:space="preserve">
I det her tilfælde kan vi se, at hvis summen af alle oxidationstal skal blive lig med ladningen (som var 0), så må OT(Mn) være +4.</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Niels Kaldal Kræmmer</author>
  </authors>
  <commentList>
    <comment ref="C6" authorId="0" shapeId="0" xr:uid="{BAF22E4B-0DDC-4955-995A-984EC7680458}">
      <text>
        <r>
          <rPr>
            <b/>
            <sz val="9"/>
            <color indexed="81"/>
            <rFont val="Tahoma"/>
            <family val="2"/>
          </rPr>
          <t>Niels Kaldal Kræmmer:</t>
        </r>
        <r>
          <rPr>
            <sz val="9"/>
            <color indexed="81"/>
            <rFont val="Tahoma"/>
            <family val="2"/>
          </rPr>
          <t xml:space="preserve">
Indtast oxidationstallet for jern: Det mest korrekte er enten +II eller +2.</t>
        </r>
      </text>
    </comment>
    <comment ref="C11" authorId="0" shapeId="0" xr:uid="{04958AB5-056A-41CD-B078-DCF43711C9BA}">
      <text>
        <r>
          <rPr>
            <b/>
            <sz val="9"/>
            <color indexed="81"/>
            <rFont val="Tahoma"/>
            <family val="2"/>
          </rPr>
          <t>Niels Kaldal Kræmmer:</t>
        </r>
        <r>
          <rPr>
            <sz val="9"/>
            <color indexed="81"/>
            <rFont val="Tahoma"/>
            <family val="2"/>
          </rPr>
          <t xml:space="preserve">
Mangan falder i oxidationstal. Skriv minus foran ændringen.</t>
        </r>
      </text>
    </comment>
    <comment ref="C14" authorId="0" shapeId="0" xr:uid="{A5E0BABD-C161-42B4-B16A-9B8AA9EAAB5A}">
      <text>
        <r>
          <rPr>
            <b/>
            <sz val="9"/>
            <color indexed="81"/>
            <rFont val="Tahoma"/>
            <family val="2"/>
          </rPr>
          <t>Niels Kaldal Kræmmer:</t>
        </r>
        <r>
          <rPr>
            <sz val="9"/>
            <color indexed="81"/>
            <rFont val="Tahoma"/>
            <family val="2"/>
          </rPr>
          <t xml:space="preserve">
Husk at det er den samlede ladning på venstre side. Det er ikke den samlede sum af oxidationstal.</t>
        </r>
      </text>
    </comment>
    <comment ref="C74" authorId="0" shapeId="0" xr:uid="{35324AD2-1A06-4517-940F-70097F9FDA67}">
      <text>
        <r>
          <rPr>
            <b/>
            <sz val="9"/>
            <color indexed="81"/>
            <rFont val="Tahoma"/>
            <family val="2"/>
          </rPr>
          <t>Niels Kaldal Kræmmer:</t>
        </r>
        <r>
          <rPr>
            <sz val="9"/>
            <color indexed="81"/>
            <rFont val="Tahoma"/>
            <family val="2"/>
          </rPr>
          <t xml:space="preserve">
Husk at tælle samtlige hydrogenatomer med - dvs inklusiv dem fra CH₃OH.</t>
        </r>
      </text>
    </comment>
    <comment ref="E87" authorId="0" shapeId="0" xr:uid="{6BB687AF-2BDE-4F1C-AA21-280719509A6B}">
      <text>
        <r>
          <rPr>
            <b/>
            <sz val="9"/>
            <color indexed="81"/>
            <rFont val="Tahoma"/>
            <family val="2"/>
          </rPr>
          <t>Niels Kaldal Kræmmer:</t>
        </r>
        <r>
          <rPr>
            <sz val="9"/>
            <color indexed="81"/>
            <rFont val="Tahoma"/>
            <family val="2"/>
          </rPr>
          <t xml:space="preserve">
Bemærk at hvis du blot skriver 3 Br-atomer, får du halve tal på reaktantsiden. Ved redox-reaktioner er det mest praktisk at gange op, så koefficienter bliver til heltal.</t>
        </r>
      </text>
    </comment>
    <comment ref="C139" authorId="0" shapeId="0" xr:uid="{2D2DA354-087F-4501-9B3B-EFD6A74A9090}">
      <text>
        <r>
          <rPr>
            <b/>
            <sz val="9"/>
            <color indexed="81"/>
            <rFont val="Tahoma"/>
            <family val="2"/>
          </rPr>
          <t>Niels Kaldal Kræmmer:</t>
        </r>
        <r>
          <rPr>
            <sz val="9"/>
            <color indexed="81"/>
            <rFont val="Tahoma"/>
            <family val="2"/>
          </rPr>
          <t xml:space="preserve">
Normalvis er OT(O) = -II
Men H₂O₂ og O₂ er undtagelser.
Ved H-O-O-H vil oxygenatomerne kun delvist optage 1 elektron pr oxygenatom.</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Hulab</author>
  </authors>
  <commentList>
    <comment ref="J9" authorId="0" shapeId="0" xr:uid="{BA517B75-2D18-47E8-89F8-B4EF30198506}">
      <text>
        <r>
          <rPr>
            <sz val="9"/>
            <color indexed="81"/>
            <rFont val="Tahoma"/>
            <family val="2"/>
          </rPr>
          <t>Hvis du skriver x, får du fagordets første bogstav.
Hvis du skriver xx, får du fagordets 2 første bogstaver</t>
        </r>
      </text>
    </comment>
    <comment ref="J23" authorId="0" shapeId="0" xr:uid="{B25956B4-E258-41F3-BBEF-480D432768F5}">
      <text>
        <r>
          <rPr>
            <sz val="9"/>
            <color indexed="81"/>
            <rFont val="Tahoma"/>
            <family val="2"/>
          </rPr>
          <t>Hvis du skriver x, får du fagordets første bogstav.
Hvis du skriver xx, får du fagordets 2 første bogstaver</t>
        </r>
      </text>
    </comment>
    <comment ref="J37" authorId="0" shapeId="0" xr:uid="{A88B4933-9F80-4002-ADCF-7D560F6A2118}">
      <text>
        <r>
          <rPr>
            <sz val="9"/>
            <color indexed="81"/>
            <rFont val="Tahoma"/>
            <family val="2"/>
          </rPr>
          <t>Hvis du skriver x, får du fagordets første bogstav.
Hvis du skriver xx, får du fagordets 2 første bogstaver</t>
        </r>
      </text>
    </comment>
    <comment ref="J51" authorId="0" shapeId="0" xr:uid="{1DA22FF4-7B3B-42C1-AC10-9C1BC3DE0F8A}">
      <text>
        <r>
          <rPr>
            <sz val="9"/>
            <color indexed="81"/>
            <rFont val="Tahoma"/>
            <family val="2"/>
          </rPr>
          <t>Hvis du skriver x, får du fagordets første bogstav.
Hvis du skriver xx, får du fagordets 2 første bogstaver</t>
        </r>
      </text>
    </comment>
    <comment ref="J65" authorId="0" shapeId="0" xr:uid="{5EFC98E2-A67B-424C-BA27-BADD03784F7B}">
      <text>
        <r>
          <rPr>
            <sz val="9"/>
            <color indexed="81"/>
            <rFont val="Tahoma"/>
            <family val="2"/>
          </rPr>
          <t>Hvis du skriver x, får du fagordets første bogstav.
Hvis du skriver xx, får du fagordets 2 første bogstaver</t>
        </r>
      </text>
    </comment>
    <comment ref="J79" authorId="0" shapeId="0" xr:uid="{CB1B8437-8B76-44D6-BD02-4DF45B4A9D03}">
      <text>
        <r>
          <rPr>
            <sz val="9"/>
            <color indexed="81"/>
            <rFont val="Tahoma"/>
            <family val="2"/>
          </rPr>
          <t>Hvis du skriver x, får du fagordets første bogstav.
Hvis du skriver xx, får du fagordets 2 første bogstaver</t>
        </r>
      </text>
    </comment>
    <comment ref="J93" authorId="0" shapeId="0" xr:uid="{F4EE02C4-6AD4-4540-B55C-45520AEE3915}">
      <text>
        <r>
          <rPr>
            <sz val="9"/>
            <color indexed="81"/>
            <rFont val="Tahoma"/>
            <family val="2"/>
          </rPr>
          <t>Hvis du skriver x, får du fagordets første bogstav.
Hvis du skriver xx, får du fagordets 2 første bogstaver</t>
        </r>
      </text>
    </comment>
    <comment ref="J107" authorId="0" shapeId="0" xr:uid="{A4029A0E-22AF-4630-8323-DA0B36E86204}">
      <text>
        <r>
          <rPr>
            <sz val="9"/>
            <color indexed="81"/>
            <rFont val="Tahoma"/>
            <family val="2"/>
          </rPr>
          <t>Hvis du skriver x, får du fagordets første bogstav.
Hvis du skriver xx, får du fagordets 2 første bogstaver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Niels Kaldal Kræmmer</author>
    <author>Hulab</author>
  </authors>
  <commentList>
    <comment ref="C33" authorId="0" shapeId="0" xr:uid="{25ACAA89-A8A1-4937-9CC6-8BD9C1100076}">
      <text>
        <r>
          <rPr>
            <b/>
            <sz val="9"/>
            <color indexed="81"/>
            <rFont val="Tahoma"/>
            <family val="2"/>
          </rPr>
          <t>Niels Kaldal Kræmmer:</t>
        </r>
        <r>
          <rPr>
            <sz val="9"/>
            <color indexed="81"/>
            <rFont val="Tahoma"/>
            <family val="2"/>
          </rPr>
          <t xml:space="preserve">
Den her afstemning kan godt drille lidt. Prøv dig gerne lidt frem</t>
        </r>
      </text>
    </comment>
    <comment ref="C42" authorId="1" shapeId="0" xr:uid="{9C947CA1-BB90-4901-9009-23E8110ED1F4}">
      <text>
        <r>
          <rPr>
            <b/>
            <sz val="9"/>
            <color indexed="81"/>
            <rFont val="Tahoma"/>
            <family val="2"/>
          </rPr>
          <t>Bemærk:</t>
        </r>
        <r>
          <rPr>
            <sz val="9"/>
            <color indexed="81"/>
            <rFont val="Tahoma"/>
            <family val="2"/>
          </rPr>
          <t xml:space="preserve">
Hvis der står "måske" er det fordi du muligvis er på rette spor, men du vil sandsynligvis løbe ind i halve tal. Gang alle koefficienter igennem, så du ender op med hele tal.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Niels Kaldal Kræmmer</author>
    <author>Hulab</author>
  </authors>
  <commentList>
    <comment ref="C6" authorId="0" shapeId="0" xr:uid="{05E86235-0979-4EE6-A471-D957D5543948}">
      <text>
        <r>
          <rPr>
            <b/>
            <sz val="9"/>
            <color indexed="81"/>
            <rFont val="Tahoma"/>
            <family val="2"/>
          </rPr>
          <t>Niels Kaldal Kræmmer:</t>
        </r>
        <r>
          <rPr>
            <sz val="9"/>
            <color indexed="81"/>
            <rFont val="Tahoma"/>
            <family val="2"/>
          </rPr>
          <t xml:space="preserve">
Brug det periodiske system</t>
        </r>
      </text>
    </comment>
    <comment ref="C7" authorId="1" shapeId="0" xr:uid="{FCB73CF0-2529-434D-8A46-BAE096A81054}">
      <text>
        <r>
          <rPr>
            <b/>
            <sz val="9"/>
            <color indexed="81"/>
            <rFont val="Tahoma"/>
            <family val="2"/>
          </rPr>
          <t>Hulab:</t>
        </r>
        <r>
          <rPr>
            <sz val="9"/>
            <color indexed="81"/>
            <rFont val="Tahoma"/>
            <family val="2"/>
          </rPr>
          <t xml:space="preserve">
Beregn ud fra antallet af protoner og ladningen</t>
        </r>
      </text>
    </comment>
    <comment ref="C8" authorId="1" shapeId="0" xr:uid="{AB0CE1ED-FDED-4D3E-A947-E65166029B22}">
      <text>
        <r>
          <rPr>
            <b/>
            <sz val="9"/>
            <color indexed="81"/>
            <rFont val="Tahoma"/>
            <family val="2"/>
          </rPr>
          <t>Hulab:</t>
        </r>
        <r>
          <rPr>
            <sz val="9"/>
            <color indexed="81"/>
            <rFont val="Tahoma"/>
            <family val="2"/>
          </rPr>
          <t xml:space="preserve">
For positive ioner i hovedgrupperne bruges grundstofnavnet efterfulgt af "ion".</t>
        </r>
      </text>
    </comment>
    <comment ref="C9" authorId="1" shapeId="0" xr:uid="{3CAA9440-F994-4D31-9F70-873BC148F28C}">
      <text>
        <r>
          <rPr>
            <b/>
            <sz val="9"/>
            <color indexed="81"/>
            <rFont val="Tahoma"/>
            <family val="2"/>
          </rPr>
          <t>Hulab:</t>
        </r>
        <r>
          <rPr>
            <sz val="9"/>
            <color indexed="81"/>
            <rFont val="Tahoma"/>
            <family val="2"/>
          </rPr>
          <t xml:space="preserve">
skriv antallet af elektroner fordelt på skaller.
Fx 2,8,8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Niels Kaldal Kræmmer</author>
  </authors>
  <commentList>
    <comment ref="C8" authorId="0" shapeId="0" xr:uid="{9B84A11F-08A0-42B5-A6C3-7A4E8CCE10FB}">
      <text>
        <r>
          <rPr>
            <b/>
            <sz val="9"/>
            <color indexed="81"/>
            <rFont val="Tahoma"/>
            <family val="2"/>
          </rPr>
          <t>Niels Kaldal Kræmmer:</t>
        </r>
        <r>
          <rPr>
            <sz val="9"/>
            <color indexed="81"/>
            <rFont val="Tahoma"/>
            <family val="2"/>
          </rPr>
          <t xml:space="preserve">
Her skal du skrive formlen for den positive ion. Ud fra navnet ses, at her er tale om jern(II)ionen altså skal du skrive Fe2+</t>
        </r>
      </text>
    </comment>
    <comment ref="C9" authorId="0" shapeId="0" xr:uid="{2F08927A-1A35-4CA1-9EE3-C808EE69A295}">
      <text>
        <r>
          <rPr>
            <b/>
            <sz val="9"/>
            <color indexed="81"/>
            <rFont val="Tahoma"/>
            <family val="2"/>
          </rPr>
          <t>Niels Kaldal Kræmmer:</t>
        </r>
        <r>
          <rPr>
            <sz val="9"/>
            <color indexed="81"/>
            <rFont val="Tahoma"/>
            <family val="2"/>
          </rPr>
          <t xml:space="preserve">
Hvis du ikke allerede har lært sulfat-ionen i hovedet kan du evt. slå den op i bogen. Her skal du skrive so42-</t>
        </r>
      </text>
    </comment>
    <comment ref="C10" authorId="0" shapeId="0" xr:uid="{6A3D907B-2C71-4821-A13A-9E9A4D9937D3}">
      <text>
        <r>
          <rPr>
            <b/>
            <sz val="9"/>
            <color indexed="81"/>
            <rFont val="Tahoma"/>
            <family val="2"/>
          </rPr>
          <t>Niels Kaldal Kræmmer:</t>
        </r>
        <r>
          <rPr>
            <sz val="9"/>
            <color indexed="81"/>
            <rFont val="Tahoma"/>
            <family val="2"/>
          </rPr>
          <t xml:space="preserve">
Husk at sammensætte formlen, således at ionforbindelsen bliver neutral.</t>
        </r>
      </text>
    </comment>
    <comment ref="H10" authorId="0" shapeId="0" xr:uid="{4A1B9905-CE5D-4B50-964B-2F0CE40057A3}">
      <text>
        <r>
          <rPr>
            <b/>
            <sz val="9"/>
            <color indexed="81"/>
            <rFont val="Tahoma"/>
            <family val="2"/>
          </rPr>
          <t>Niels Kaldal Kræmmer:</t>
        </r>
        <r>
          <rPr>
            <sz val="9"/>
            <color indexed="81"/>
            <rFont val="Tahoma"/>
            <family val="2"/>
          </rPr>
          <t xml:space="preserve">
Her skal du være opmærksom på at der skal paranteser rundt om den sammensatte ion, når den ganges op
Det bliver altså (nh4)2co3</t>
        </r>
      </text>
    </comment>
    <comment ref="C15" authorId="0" shapeId="0" xr:uid="{EB9B7434-19E1-49B5-9E3C-F15269341398}">
      <text>
        <r>
          <rPr>
            <b/>
            <sz val="9"/>
            <color indexed="81"/>
            <rFont val="Tahoma"/>
            <family val="2"/>
          </rPr>
          <t>Niels Kaldal Kræmmer:</t>
        </r>
        <r>
          <rPr>
            <sz val="9"/>
            <color indexed="81"/>
            <rFont val="Tahoma"/>
            <family val="2"/>
          </rPr>
          <t xml:space="preserve">
Brug ionernes kemiske formel fra ovenstående til at sammensætte nye neutrale ionforbindelser.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Niels Kaldal Kræmmer</author>
  </authors>
  <commentList>
    <comment ref="D12" authorId="0" shapeId="0" xr:uid="{3A292DD8-3681-488D-8A3C-73F934DA28A2}">
      <text>
        <r>
          <rPr>
            <b/>
            <sz val="9"/>
            <color indexed="81"/>
            <rFont val="Tahoma"/>
            <family val="2"/>
          </rPr>
          <t>Niels Kaldal Kræmmer:</t>
        </r>
        <r>
          <rPr>
            <sz val="9"/>
            <color indexed="81"/>
            <rFont val="Tahoma"/>
            <family val="2"/>
          </rPr>
          <t xml:space="preserve">
Slå værdien op på internettet, Marvinsketch eller brug det periodiske system og lidt hovedregning.
Skriv tallet uden enheder</t>
        </r>
      </text>
    </comment>
    <comment ref="D13" authorId="0" shapeId="0" xr:uid="{A8A850AE-9423-4234-9C4C-388EE5E5634B}">
      <text>
        <r>
          <rPr>
            <b/>
            <sz val="9"/>
            <color indexed="81"/>
            <rFont val="Tahoma"/>
            <family val="2"/>
          </rPr>
          <t>Niels Kaldal Kræmmer:</t>
        </r>
        <r>
          <rPr>
            <sz val="9"/>
            <color indexed="81"/>
            <rFont val="Tahoma"/>
            <family val="2"/>
          </rPr>
          <t xml:space="preserve">
Stofmængden beregnes med formlen: n = m/M</t>
        </r>
      </text>
    </comment>
    <comment ref="F13" authorId="0" shapeId="0" xr:uid="{D24B9285-B8C4-4455-9996-A0E968799FBD}">
      <text>
        <r>
          <rPr>
            <b/>
            <sz val="9"/>
            <color indexed="81"/>
            <rFont val="Tahoma"/>
            <family val="2"/>
          </rPr>
          <t>Niels Kaldal Kræmmer:</t>
        </r>
        <r>
          <rPr>
            <sz val="9"/>
            <color indexed="81"/>
            <rFont val="Tahoma"/>
            <family val="2"/>
          </rPr>
          <t xml:space="preserve">
Beregn øvrige stofmængder via antalsforholdet mellem koefficienterne - se evt. s. 89 i Basiskemi C</t>
        </r>
      </text>
    </comment>
    <comment ref="D14" authorId="0" shapeId="0" xr:uid="{E4FBC243-9A4D-4D65-92D3-CEF6A8F683B6}">
      <text>
        <r>
          <rPr>
            <b/>
            <sz val="9"/>
            <color indexed="81"/>
            <rFont val="Tahoma"/>
            <family val="2"/>
          </rPr>
          <t>Niels Kaldal Kræmmer:</t>
        </r>
        <r>
          <rPr>
            <sz val="9"/>
            <color indexed="81"/>
            <rFont val="Tahoma"/>
            <family val="2"/>
          </rPr>
          <t xml:space="preserve">
Skriv koefficienterne for det afstemte reaktionsskema i denne række. </t>
        </r>
      </text>
    </comment>
    <comment ref="D39" authorId="0" shapeId="0" xr:uid="{57390218-370A-4473-B556-EA17466964C4}">
      <text>
        <r>
          <rPr>
            <b/>
            <sz val="9"/>
            <color indexed="81"/>
            <rFont val="Tahoma"/>
            <family val="2"/>
          </rPr>
          <t>Niels Kaldal Kræmmer:</t>
        </r>
        <r>
          <rPr>
            <sz val="9"/>
            <color indexed="81"/>
            <rFont val="Tahoma"/>
            <family val="2"/>
          </rPr>
          <t xml:space="preserve">
Slå værdien op på internettet, Marvinsketch eller brug det periodiske system og lidt hovedregning.
Skriv tallet uden enheder</t>
        </r>
      </text>
    </comment>
    <comment ref="D40" authorId="0" shapeId="0" xr:uid="{484E46DF-F5F1-4FA9-8A80-501480F262CF}">
      <text>
        <r>
          <rPr>
            <b/>
            <sz val="9"/>
            <color indexed="81"/>
            <rFont val="Tahoma"/>
            <family val="2"/>
          </rPr>
          <t>Niels Kaldal Kræmmer:</t>
        </r>
        <r>
          <rPr>
            <sz val="9"/>
            <color indexed="81"/>
            <rFont val="Tahoma"/>
            <family val="2"/>
          </rPr>
          <t xml:space="preserve">
Stofmængden beregnes med formlen: n = m/M</t>
        </r>
      </text>
    </comment>
    <comment ref="D41" authorId="0" shapeId="0" xr:uid="{AEC18D57-FC73-4898-A188-885563EF79EF}">
      <text>
        <r>
          <rPr>
            <b/>
            <sz val="9"/>
            <color indexed="81"/>
            <rFont val="Tahoma"/>
            <family val="2"/>
          </rPr>
          <t>Niels Kaldal Kræmmer:</t>
        </r>
        <r>
          <rPr>
            <sz val="9"/>
            <color indexed="81"/>
            <rFont val="Tahoma"/>
            <family val="2"/>
          </rPr>
          <t xml:space="preserve">
Skriv koefficienterne for det afstemte reaktionsskema i denne række. </t>
        </r>
      </text>
    </comment>
    <comment ref="F41" authorId="0" shapeId="0" xr:uid="{F7A69972-B281-41C8-8367-CEBC0761D43A}">
      <text>
        <r>
          <rPr>
            <b/>
            <sz val="9"/>
            <color indexed="81"/>
            <rFont val="Tahoma"/>
            <family val="2"/>
          </rPr>
          <t>Niels Kaldal Kræmmer:</t>
        </r>
        <r>
          <rPr>
            <sz val="9"/>
            <color indexed="81"/>
            <rFont val="Tahoma"/>
            <family val="2"/>
          </rPr>
          <t xml:space="preserve">
Beregn øvrige stofmængder via antalsforholdet mellem koefficienterne - se evt. s. 89 i Basiskemi C</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Niels Kaldal Kræmmer</author>
  </authors>
  <commentList>
    <comment ref="D8" authorId="0" shapeId="0" xr:uid="{2A4DCED1-2AD1-4B15-9EDD-DC81C1CEE330}">
      <text>
        <r>
          <rPr>
            <b/>
            <sz val="9"/>
            <color indexed="81"/>
            <rFont val="Tahoma"/>
            <family val="2"/>
          </rPr>
          <t>Niels Kaldal Kræmmer:</t>
        </r>
        <r>
          <rPr>
            <sz val="9"/>
            <color indexed="81"/>
            <rFont val="Tahoma"/>
            <family val="2"/>
          </rPr>
          <t xml:space="preserve">
Slå værdien op på internettet, Marvinsketch eller allerbedst - god gammeldags hovedregning.
Skriv tallet uden enheder</t>
        </r>
      </text>
    </comment>
    <comment ref="D9" authorId="0" shapeId="0" xr:uid="{88A64F29-CE3D-415E-9876-BEB20267FD8F}">
      <text>
        <r>
          <rPr>
            <b/>
            <sz val="9"/>
            <color indexed="81"/>
            <rFont val="Tahoma"/>
            <family val="2"/>
          </rPr>
          <t>Niels Kaldal Kræmmer:</t>
        </r>
        <r>
          <rPr>
            <sz val="9"/>
            <color indexed="81"/>
            <rFont val="Tahoma"/>
            <family val="2"/>
          </rPr>
          <t xml:space="preserve">
Stofmængden beregnes med n = m/M</t>
        </r>
      </text>
    </comment>
    <comment ref="F9" authorId="0" shapeId="0" xr:uid="{CBE99266-64E3-4C87-94D0-D5AFCA66AB43}">
      <text>
        <r>
          <rPr>
            <b/>
            <sz val="9"/>
            <color indexed="81"/>
            <rFont val="Tahoma"/>
            <family val="2"/>
          </rPr>
          <t>Niels Kaldal Kræmmer:</t>
        </r>
        <r>
          <rPr>
            <sz val="9"/>
            <color indexed="81"/>
            <rFont val="Tahoma"/>
            <family val="2"/>
          </rPr>
          <t xml:space="preserve">
Du kan først beregne de øvrige stofmængder, når du har afstemt reaktionsskemaet.</t>
        </r>
      </text>
    </comment>
    <comment ref="D10" authorId="0" shapeId="0" xr:uid="{C4F30826-A0AC-4635-94B2-DF6B025CD057}">
      <text>
        <r>
          <rPr>
            <b/>
            <sz val="9"/>
            <color indexed="81"/>
            <rFont val="Tahoma"/>
            <family val="2"/>
          </rPr>
          <t>Niels Kaldal Kræmmer:</t>
        </r>
        <r>
          <rPr>
            <sz val="9"/>
            <color indexed="81"/>
            <rFont val="Tahoma"/>
            <family val="2"/>
          </rPr>
          <t xml:space="preserve">
Afstem reaktionsskemaet og skriv koefficienterne nede i denne række.</t>
        </r>
      </text>
    </comment>
    <comment ref="F10" authorId="0" shapeId="0" xr:uid="{E4A99645-A689-4119-A940-57AE38B4ADA8}">
      <text>
        <r>
          <rPr>
            <b/>
            <sz val="9"/>
            <color indexed="81"/>
            <rFont val="Tahoma"/>
            <family val="2"/>
          </rPr>
          <t>Niels Kaldal Kræmmer:</t>
        </r>
        <r>
          <rPr>
            <sz val="9"/>
            <color indexed="81"/>
            <rFont val="Tahoma"/>
            <family val="2"/>
          </rPr>
          <t xml:space="preserve">
Beregn de øvrige stofmængder ud fra antalsforholdet mellem koefficienterne - se evt. s. 89 i Basiskemi C</t>
        </r>
      </text>
    </comment>
    <comment ref="D15" authorId="0" shapeId="0" xr:uid="{EB018520-1D60-43AF-84D1-E1BEFF2C6F20}">
      <text>
        <r>
          <rPr>
            <b/>
            <sz val="9"/>
            <color indexed="81"/>
            <rFont val="Tahoma"/>
            <family val="2"/>
          </rPr>
          <t>Niels Kaldal Kræmmer:</t>
        </r>
        <r>
          <rPr>
            <sz val="9"/>
            <color indexed="81"/>
            <rFont val="Tahoma"/>
            <family val="2"/>
          </rPr>
          <t xml:space="preserve">
Stofmængden beregnes med n = m/M</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Niels Kaldal Kræmmer</author>
  </authors>
  <commentList>
    <comment ref="F147" authorId="0" shapeId="0" xr:uid="{DB1CE664-7C50-49BA-91E6-4AE438B6646E}">
      <text>
        <r>
          <rPr>
            <sz val="9"/>
            <color indexed="81"/>
            <rFont val="Tahoma"/>
            <family val="2"/>
          </rPr>
          <t>Bemærk at du her skal skrive den totale mængde chlorid. Der var nemlig allerede chlorid i opløsningen inden NaCl blev opløst.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Niels Kaldal Kræmmer</author>
    <author>Hulab</author>
  </authors>
  <commentList>
    <comment ref="F27" authorId="0" shapeId="0" xr:uid="{19C89A69-02CF-4C87-A9EB-681CC6BC1F94}">
      <text>
        <r>
          <rPr>
            <b/>
            <sz val="9"/>
            <color indexed="81"/>
            <rFont val="Tahoma"/>
            <family val="2"/>
          </rPr>
          <t>Niels Kaldal Kræmmer:</t>
        </r>
        <r>
          <rPr>
            <sz val="9"/>
            <color indexed="81"/>
            <rFont val="Tahoma"/>
            <family val="2"/>
          </rPr>
          <t xml:space="preserve">
Denne værdi er ukendt. Det er formålet med titreringen at finde denne værdi.</t>
        </r>
      </text>
    </comment>
    <comment ref="C37" authorId="1" shapeId="0" xr:uid="{9A32834A-A63E-4C83-BDEB-61DB88AE6DDD}">
      <text>
        <r>
          <rPr>
            <b/>
            <sz val="9"/>
            <color indexed="81"/>
            <rFont val="Tahoma"/>
            <family val="2"/>
          </rPr>
          <t>Her skal du bruge den volumen sølvnitrat, som du har anvendt i titreringen (se ovenfor). Koncentrationen er angivet i opgaveteksten.</t>
        </r>
      </text>
    </comment>
    <comment ref="C38" authorId="1" shapeId="0" xr:uid="{06E669E9-835F-40BC-A31D-15D594A92E22}">
      <text>
        <r>
          <rPr>
            <b/>
            <sz val="9"/>
            <color indexed="81"/>
            <rFont val="Tahoma"/>
            <family val="2"/>
          </rPr>
          <t>Vi antager at burettens sølvnitraten udelukkende har reageret med NaCl.
Totalreaktionen er AgNO₃ + NaCl ⟶ AgCl (s) + NaNO₃
Antalsforholdet er 1:1.</t>
        </r>
      </text>
    </comment>
    <comment ref="C41" authorId="1" shapeId="0" xr:uid="{5B5FE20A-E2C9-407D-B4C3-CC8A63D158DD}">
      <text>
        <r>
          <rPr>
            <b/>
            <sz val="9"/>
            <color indexed="81"/>
            <rFont val="Tahoma"/>
            <family val="2"/>
          </rPr>
          <t>Blandingen er i denne sammenhæng toasten. Se massen af anvendt toast i opgaveteksten.</t>
        </r>
      </text>
    </comment>
    <comment ref="C42" authorId="1" shapeId="0" xr:uid="{38105B2C-8A07-4F04-A96B-D50D5521E5AD}">
      <text>
        <r>
          <rPr>
            <b/>
            <sz val="9"/>
            <color indexed="81"/>
            <rFont val="Tahoma"/>
            <family val="2"/>
          </rPr>
          <t>Findes via masseprocent-formlen, og angiver saltindholdet - altså hvor mange procent af toastbrød, der er salt.</t>
        </r>
      </text>
    </comment>
    <comment ref="C46" authorId="1" shapeId="0" xr:uid="{91D2580A-D6C3-4129-9044-F98483523690}">
      <text>
        <r>
          <rPr>
            <b/>
            <sz val="9"/>
            <color indexed="81"/>
            <rFont val="Tahoma"/>
            <family val="2"/>
          </rPr>
          <t>Findes via masseprocent-formlen, og angiver saltindholdet - altså hvor mange procent af toastbrød, der er salt.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Hulab</author>
  </authors>
  <commentList>
    <comment ref="D8" authorId="0" shapeId="0" xr:uid="{21417F39-7FFB-4507-A0E5-DFB93CE6BDB0}">
      <text>
        <r>
          <rPr>
            <b/>
            <sz val="9"/>
            <color indexed="81"/>
            <rFont val="Tahoma"/>
            <family val="2"/>
          </rPr>
          <t>Excel scanner for relevante fagord. Du behøver altså ikke skrive en lang forklaring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<sst xmlns="http://schemas.openxmlformats.org/spreadsheetml/2006/main" count="3244" uniqueCount="1108">
  <si>
    <t>R = Rigtig</t>
  </si>
  <si>
    <t>F = Forkert</t>
  </si>
  <si>
    <t>C9H20</t>
  </si>
  <si>
    <t>O2</t>
  </si>
  <si>
    <t>CO2</t>
  </si>
  <si>
    <t>H2O</t>
  </si>
  <si>
    <t>m</t>
  </si>
  <si>
    <t>M</t>
  </si>
  <si>
    <t>n</t>
  </si>
  <si>
    <t>f</t>
  </si>
  <si>
    <t>C12H26</t>
  </si>
  <si>
    <t>C8H16</t>
  </si>
  <si>
    <t>C7H16</t>
  </si>
  <si>
    <t>C8H18</t>
  </si>
  <si>
    <t>C7H14</t>
  </si>
  <si>
    <t>C3H7OH</t>
  </si>
  <si>
    <t>C3H8</t>
  </si>
  <si>
    <t>C2H6</t>
  </si>
  <si>
    <t>C13H28</t>
  </si>
  <si>
    <t>C14H30</t>
  </si>
  <si>
    <t>C10H22</t>
  </si>
  <si>
    <t>C6H14</t>
  </si>
  <si>
    <t>C3H6</t>
  </si>
  <si>
    <t>CH4</t>
  </si>
  <si>
    <t>C11H24</t>
  </si>
  <si>
    <t>C9H18</t>
  </si>
  <si>
    <t>C6H12</t>
  </si>
  <si>
    <t>C4H10</t>
  </si>
  <si>
    <t>C2H5OH</t>
  </si>
  <si>
    <t>C4H9OH</t>
  </si>
  <si>
    <t>C₆H₁₄</t>
  </si>
  <si>
    <t>CO₂</t>
  </si>
  <si>
    <t>C₃H₆</t>
  </si>
  <si>
    <t>CH₄</t>
  </si>
  <si>
    <t>C₃H₇OH</t>
  </si>
  <si>
    <t>C₁₁H₂₄</t>
  </si>
  <si>
    <t>CH₃OH</t>
  </si>
  <si>
    <t>C₃H₈</t>
  </si>
  <si>
    <t>C₇H₁₄</t>
  </si>
  <si>
    <t>C₁₃H₂₈</t>
  </si>
  <si>
    <t>C₈H₁₈</t>
  </si>
  <si>
    <t>C₃H₆O</t>
  </si>
  <si>
    <t>C₉H₁₈</t>
  </si>
  <si>
    <t>C₆H₁₂</t>
  </si>
  <si>
    <t>C₁₄H₃₀</t>
  </si>
  <si>
    <r>
      <t xml:space="preserve">M </t>
    </r>
    <r>
      <rPr>
        <sz val="10"/>
        <color theme="1"/>
        <rFont val="Calibri"/>
        <family val="2"/>
        <scheme val="minor"/>
      </rPr>
      <t>(g/mol)</t>
    </r>
  </si>
  <si>
    <r>
      <t>m</t>
    </r>
    <r>
      <rPr>
        <sz val="11"/>
        <color theme="1"/>
        <rFont val="Calibri"/>
        <family val="2"/>
        <scheme val="minor"/>
      </rPr>
      <t xml:space="preserve"> (g)</t>
    </r>
  </si>
  <si>
    <r>
      <t xml:space="preserve">n </t>
    </r>
    <r>
      <rPr>
        <sz val="11"/>
        <color theme="1"/>
        <rFont val="Calibri"/>
        <family val="2"/>
        <scheme val="minor"/>
      </rPr>
      <t>(mol)</t>
    </r>
  </si>
  <si>
    <t>⟶</t>
  </si>
  <si>
    <t>O₂</t>
  </si>
  <si>
    <t>H₂O</t>
  </si>
  <si>
    <t>Opgaver til Mængdeberegningsskemaet (s. 92 i BASISKEMI C)</t>
  </si>
  <si>
    <t>Grundstof</t>
  </si>
  <si>
    <t>Antal protoner</t>
  </si>
  <si>
    <t>Antal neutroner</t>
  </si>
  <si>
    <t>²³Na</t>
  </si>
  <si>
    <t>Antal elektroner</t>
  </si>
  <si>
    <t>Grundstofnavn</t>
  </si>
  <si>
    <t>Natrium</t>
  </si>
  <si>
    <t>¹⁴C</t>
  </si>
  <si>
    <t>Carbon</t>
  </si>
  <si>
    <t>⁷⁹Br</t>
  </si>
  <si>
    <t>Brom</t>
  </si>
  <si>
    <t>Fagord</t>
  </si>
  <si>
    <t>Samme antal protoner - forskellige antal neutroner</t>
  </si>
  <si>
    <t>Kernepartikel med positiv ladning</t>
  </si>
  <si>
    <t>Måden hvorpå man opskriver kemisker reaktioner med kemiske symboler og reaktionspil</t>
  </si>
  <si>
    <t>Den form som det kemiske stof har - enten (aq), (s), (g) eller (l)</t>
  </si>
  <si>
    <t>tilstandsform</t>
  </si>
  <si>
    <t>Væske</t>
  </si>
  <si>
    <t>flydende</t>
  </si>
  <si>
    <t>Hvad betyder (l)?</t>
  </si>
  <si>
    <t>Ædelgasregel</t>
  </si>
  <si>
    <t>ædelgasreglen</t>
  </si>
  <si>
    <t>Reglen, der fortæller at grundstoffer fra hovedgrupperne stræber efter 8 e⁻ i yderste skal</t>
  </si>
  <si>
    <t>De store tal, som bruges til afstemning af et reaktionsskema</t>
  </si>
  <si>
    <t>koefficient</t>
  </si>
  <si>
    <t>HCl</t>
  </si>
  <si>
    <t>Reaktionsskema 1</t>
  </si>
  <si>
    <t>Fejltjek</t>
  </si>
  <si>
    <t>CO₂   +</t>
  </si>
  <si>
    <t>H₂O   +</t>
  </si>
  <si>
    <t>Er reaktionsskemaet afstemt?</t>
  </si>
  <si>
    <t>Reaktionsskema 2</t>
  </si>
  <si>
    <t>Reaktionsskema 3</t>
  </si>
  <si>
    <t>Reaktionsskema 4</t>
  </si>
  <si>
    <t>Na + H₂O ⟶ NaOH + H₂</t>
  </si>
  <si>
    <t>Na    +</t>
  </si>
  <si>
    <t>NaOH   +</t>
  </si>
  <si>
    <t>H₂</t>
  </si>
  <si>
    <r>
      <t xml:space="preserve">f </t>
    </r>
    <r>
      <rPr>
        <sz val="11"/>
        <color theme="1"/>
        <rFont val="Calibri"/>
        <family val="2"/>
        <scheme val="minor"/>
      </rPr>
      <t>(koefficient)</t>
    </r>
  </si>
  <si>
    <t>Reaktionsskema 5</t>
  </si>
  <si>
    <t>C₆H₇N₃O₁₁ + O₂ ⟶ CO₂ + H₂O + N₂</t>
  </si>
  <si>
    <t>C₆H₇N₃O₁₁   +</t>
  </si>
  <si>
    <t>N₂</t>
  </si>
  <si>
    <t>C₁₂H₂₂O₁₁   +</t>
  </si>
  <si>
    <t>C₂H₆O   +</t>
  </si>
  <si>
    <t>C₁₂H₂₂O₁₁ + H₂O ⟶ C₂H₆O + CO₂</t>
  </si>
  <si>
    <t>C₇H₁₆ + O₂ ⟶ CO₂ + H₂O</t>
  </si>
  <si>
    <t>C₇H₁₆</t>
  </si>
  <si>
    <t>CaCO₃   +</t>
  </si>
  <si>
    <t>CaCl₂</t>
  </si>
  <si>
    <t>Fe + O₂ ⟶ Fe₂O₃</t>
  </si>
  <si>
    <t>Fe   +</t>
  </si>
  <si>
    <t>Fe₂O₃</t>
  </si>
  <si>
    <t>Reaktionsskema 6</t>
  </si>
  <si>
    <t>Angiv elektronstruktur</t>
  </si>
  <si>
    <t>³²S</t>
  </si>
  <si>
    <t>Svovl</t>
  </si>
  <si>
    <t>¹⁸O</t>
  </si>
  <si>
    <t>Oxygen</t>
  </si>
  <si>
    <t>2,8,6</t>
  </si>
  <si>
    <t>2,8,1</t>
  </si>
  <si>
    <t>2,8,18,7</t>
  </si>
  <si>
    <t>²¹Ne</t>
  </si>
  <si>
    <t>Neon</t>
  </si>
  <si>
    <t>Antal O-atomer</t>
  </si>
  <si>
    <t>H₂SO₄</t>
  </si>
  <si>
    <t>Al₂(SO₄)₃</t>
  </si>
  <si>
    <t>NH₄NO₃</t>
  </si>
  <si>
    <t>HNO₃</t>
  </si>
  <si>
    <t>NO₂⁻</t>
  </si>
  <si>
    <t>Kemisk forbindelse</t>
  </si>
  <si>
    <t>Tjek:</t>
  </si>
  <si>
    <t>Resultaterne bliver godkendt inden for 2 % afvigelse.</t>
  </si>
  <si>
    <t>Skriv den rigtige koefficient i de lyseblå felter. Skriv 1, hvis der ikke skal være nogen koefficient</t>
  </si>
  <si>
    <t>S²⁻</t>
  </si>
  <si>
    <t>Al³⁺</t>
  </si>
  <si>
    <t>Fe³⁺</t>
  </si>
  <si>
    <t>ionnavn</t>
  </si>
  <si>
    <t>Afstem reaktionsskemaet med de korrekte koefficienter - brug de lyseblå felter nedenfor:</t>
  </si>
  <si>
    <t>Navn</t>
  </si>
  <si>
    <t>2d) Sammensatte ioner: Angiv navn</t>
  </si>
  <si>
    <t>Br⁻</t>
  </si>
  <si>
    <t>O²⁻</t>
  </si>
  <si>
    <t>Pb²⁺</t>
  </si>
  <si>
    <t>Na⁺</t>
  </si>
  <si>
    <t>natriumion</t>
  </si>
  <si>
    <t>aluminiumion</t>
  </si>
  <si>
    <t>Ca²⁺</t>
  </si>
  <si>
    <t>calciumion</t>
  </si>
  <si>
    <t>2,8,8</t>
  </si>
  <si>
    <t>oxid</t>
  </si>
  <si>
    <t>sulfid</t>
  </si>
  <si>
    <t>bromid</t>
  </si>
  <si>
    <t>2,8,18,8</t>
  </si>
  <si>
    <t>N³⁻</t>
  </si>
  <si>
    <t>nitrid</t>
  </si>
  <si>
    <t>jern(III)ion</t>
  </si>
  <si>
    <t>bly(II)ion</t>
  </si>
  <si>
    <t>Cu²⁺</t>
  </si>
  <si>
    <t>Ag⁺</t>
  </si>
  <si>
    <t>sølvion</t>
  </si>
  <si>
    <t>kobber(II)ion</t>
  </si>
  <si>
    <t>Ion:</t>
  </si>
  <si>
    <t>Sammensat ion:</t>
  </si>
  <si>
    <t>OH⁻</t>
  </si>
  <si>
    <t>SO₄²⁻</t>
  </si>
  <si>
    <t>CO₃²⁻</t>
  </si>
  <si>
    <t>NO₃⁻</t>
  </si>
  <si>
    <t>NH₄⁺</t>
  </si>
  <si>
    <t>PO₄³⁻</t>
  </si>
  <si>
    <t>hydroxid</t>
  </si>
  <si>
    <t>sulfat</t>
  </si>
  <si>
    <t>carbonat</t>
  </si>
  <si>
    <t>nitrat</t>
  </si>
  <si>
    <t>ammonium</t>
  </si>
  <si>
    <t>phosphat</t>
  </si>
  <si>
    <t>2e) Navne for ionforbindelser</t>
  </si>
  <si>
    <t>ZnSO₄</t>
  </si>
  <si>
    <t>Cu(NO₃)₂</t>
  </si>
  <si>
    <t>Cu₂O</t>
  </si>
  <si>
    <t>AlCl₃</t>
  </si>
  <si>
    <t>(NH₄)₂CO₃</t>
  </si>
  <si>
    <t>CuS</t>
  </si>
  <si>
    <t>AgNO₃</t>
  </si>
  <si>
    <t>CuBr₂</t>
  </si>
  <si>
    <t>Fe(NO₃)₂</t>
  </si>
  <si>
    <t>Ca(OH)₂</t>
  </si>
  <si>
    <t>Ba₃N₂</t>
  </si>
  <si>
    <t>Mg(OH)₂</t>
  </si>
  <si>
    <t>NiCl₂</t>
  </si>
  <si>
    <t>FeS</t>
  </si>
  <si>
    <t>kobber(II)nitrat</t>
  </si>
  <si>
    <t>kobber(I)oxid</t>
  </si>
  <si>
    <t>aluminiumchlorid</t>
  </si>
  <si>
    <t>ammoniumcarbonat</t>
  </si>
  <si>
    <t>kobber(II)sulfid</t>
  </si>
  <si>
    <t>kobber(II)bromid</t>
  </si>
  <si>
    <t>jern(II)nitrat</t>
  </si>
  <si>
    <t>calciumhydroxid</t>
  </si>
  <si>
    <t>bariumnitrid</t>
  </si>
  <si>
    <t>magnesiumhydroxid</t>
  </si>
  <si>
    <t>nikkel(II)chlorid</t>
  </si>
  <si>
    <t>jern(II)sulfid</t>
  </si>
  <si>
    <t>K⁺</t>
  </si>
  <si>
    <t>kaliumion</t>
  </si>
  <si>
    <t>ionnavn:</t>
  </si>
  <si>
    <t>zinksulfat</t>
  </si>
  <si>
    <t>isotop</t>
  </si>
  <si>
    <t>reaktionsskema</t>
  </si>
  <si>
    <t>oxygen</t>
  </si>
  <si>
    <t>SO₂</t>
  </si>
  <si>
    <t>HBr</t>
  </si>
  <si>
    <t>Br₂</t>
  </si>
  <si>
    <t>I₂</t>
  </si>
  <si>
    <t>NO₂</t>
  </si>
  <si>
    <t>H₂O₂</t>
  </si>
  <si>
    <t>H₂S</t>
  </si>
  <si>
    <t>HF</t>
  </si>
  <si>
    <t>CS₂</t>
  </si>
  <si>
    <t>SF₆</t>
  </si>
  <si>
    <t>dihydrogenoxid</t>
  </si>
  <si>
    <t>svovldioxid</t>
  </si>
  <si>
    <t>hydrogenchlorid</t>
  </si>
  <si>
    <t>hydrogenbromid</t>
  </si>
  <si>
    <t>dibrom</t>
  </si>
  <si>
    <t>diiod</t>
  </si>
  <si>
    <t>nitrogendioxid</t>
  </si>
  <si>
    <t>dihydrogendioxid</t>
  </si>
  <si>
    <t>dihydrogensulfid</t>
  </si>
  <si>
    <t>carbondioxid</t>
  </si>
  <si>
    <t>N₂O₅</t>
  </si>
  <si>
    <t>dinitrogenpentaoxid</t>
  </si>
  <si>
    <t>carbondisulfid</t>
  </si>
  <si>
    <t>Kemisk formel</t>
  </si>
  <si>
    <t>dioxygen</t>
  </si>
  <si>
    <t>dihydrogen</t>
  </si>
  <si>
    <t>EN(H) = 2,1</t>
  </si>
  <si>
    <t>EN(O) = 3,5</t>
  </si>
  <si>
    <t>EN(S) = 2,5</t>
  </si>
  <si>
    <t>Til følgende opgaver bruges følgende værdier for elektronegativitet (EN) fra s. 68 i Basiskemi C</t>
  </si>
  <si>
    <t>Binding</t>
  </si>
  <si>
    <t>C-H</t>
  </si>
  <si>
    <t>S-H</t>
  </si>
  <si>
    <t>O-H</t>
  </si>
  <si>
    <t>C-C</t>
  </si>
  <si>
    <t>C-O</t>
  </si>
  <si>
    <t>Elektronegativitetsforskel (ΔEN)</t>
  </si>
  <si>
    <t>ja</t>
  </si>
  <si>
    <t>nej</t>
  </si>
  <si>
    <t>3b) Angiv elektronegativitetsforskel og polaritet på bindinger</t>
  </si>
  <si>
    <t>CCl₄</t>
  </si>
  <si>
    <t>Molekyle</t>
  </si>
  <si>
    <t>Polært molekyle (skriv: ja eller nej)</t>
  </si>
  <si>
    <t>Polær? (skriv: ja eller nej)</t>
  </si>
  <si>
    <t>pentanol</t>
  </si>
  <si>
    <t>Fedtstoffer</t>
  </si>
  <si>
    <t>glycerol</t>
  </si>
  <si>
    <t>Ethylamin</t>
  </si>
  <si>
    <t>Strukturformel</t>
  </si>
  <si>
    <t>3c) Angiv hvorvidt følgende små molekyler er polære</t>
  </si>
  <si>
    <t>3d) Angiv hvorvidt følgende store molekyler er polære ud fra strukturformlen</t>
  </si>
  <si>
    <t>Værdi</t>
  </si>
  <si>
    <t>Antal decimaler</t>
  </si>
  <si>
    <t>Antal betydende cifre</t>
  </si>
  <si>
    <t>Rigtig opskrivning</t>
  </si>
  <si>
    <t>Jern(II)sulfat</t>
  </si>
  <si>
    <t>positiv ion:</t>
  </si>
  <si>
    <t>negativ ion</t>
  </si>
  <si>
    <t>Fe²⁺</t>
  </si>
  <si>
    <t>fe2+</t>
  </si>
  <si>
    <t>so42-</t>
  </si>
  <si>
    <t>Opskrevet korrekt</t>
  </si>
  <si>
    <t>hele forbindelsen</t>
  </si>
  <si>
    <t>Formel for ionforbindelse</t>
  </si>
  <si>
    <t>feso4</t>
  </si>
  <si>
    <t>nh4+</t>
  </si>
  <si>
    <t>co32-</t>
  </si>
  <si>
    <t>(nh4)2co3</t>
  </si>
  <si>
    <t>Ammoniumcarbonat</t>
  </si>
  <si>
    <t>FeSO₄</t>
  </si>
  <si>
    <t>FeCO₃</t>
  </si>
  <si>
    <t>(NH₄)₂SO₄</t>
  </si>
  <si>
    <t>feco3</t>
  </si>
  <si>
    <t>(nh4)2so4</t>
  </si>
  <si>
    <t>jern(II)carbonat</t>
  </si>
  <si>
    <t>ammoniumsulfat</t>
  </si>
  <si>
    <t>Opgave 1</t>
  </si>
  <si>
    <t>Ny ionforbindelse 1</t>
  </si>
  <si>
    <t>Ny ionforbindelse 2</t>
  </si>
  <si>
    <t>Kemisk formel: positiv ion:</t>
  </si>
  <si>
    <t>Kemisk formel: negativ ion</t>
  </si>
  <si>
    <t>Systematisk navn</t>
  </si>
  <si>
    <t>Opgave 2</t>
  </si>
  <si>
    <t>Sølv(I)nitrat</t>
  </si>
  <si>
    <t>ag+</t>
  </si>
  <si>
    <t>Opg 1 rigtig</t>
  </si>
  <si>
    <t>ion1</t>
  </si>
  <si>
    <t>ion2</t>
  </si>
  <si>
    <t>opg 2 rigtig</t>
  </si>
  <si>
    <t>klar til afs</t>
  </si>
  <si>
    <t>opg 3 rigtig</t>
  </si>
  <si>
    <t>no3-</t>
  </si>
  <si>
    <t>agno3</t>
  </si>
  <si>
    <t>ba2+</t>
  </si>
  <si>
    <t>br-</t>
  </si>
  <si>
    <t>babr2</t>
  </si>
  <si>
    <t>Bariumbromid</t>
  </si>
  <si>
    <t>agbr</t>
  </si>
  <si>
    <t>ba(no3)2</t>
  </si>
  <si>
    <t>Ba²⁺</t>
  </si>
  <si>
    <t>BaBr₂</t>
  </si>
  <si>
    <t>sølv(I)bromid</t>
  </si>
  <si>
    <t>bariumnitrat</t>
  </si>
  <si>
    <t>sølvbromid</t>
  </si>
  <si>
    <t>AgBr</t>
  </si>
  <si>
    <t>Ba(NO₃)₂</t>
  </si>
  <si>
    <t>Opgave 3</t>
  </si>
  <si>
    <t>Opgave 4</t>
  </si>
  <si>
    <t>Fe(NO₃)₃</t>
  </si>
  <si>
    <t>Jern(III)nitrat</t>
  </si>
  <si>
    <t>NaOH</t>
  </si>
  <si>
    <t>Na+</t>
  </si>
  <si>
    <t>Fe(OH)₃</t>
  </si>
  <si>
    <t>fe(oh)3</t>
  </si>
  <si>
    <t>fe(no3)3</t>
  </si>
  <si>
    <t>fe3+</t>
  </si>
  <si>
    <t>oh-</t>
  </si>
  <si>
    <t>naoh</t>
  </si>
  <si>
    <t>NaNO₃</t>
  </si>
  <si>
    <t>nano3</t>
  </si>
  <si>
    <t>natriumnitrat</t>
  </si>
  <si>
    <t>al3+</t>
  </si>
  <si>
    <t>al2(so4)3</t>
  </si>
  <si>
    <t>cl-</t>
  </si>
  <si>
    <t>bacl2</t>
  </si>
  <si>
    <t>alcl3</t>
  </si>
  <si>
    <t>Opgave 5</t>
  </si>
  <si>
    <t>Opgave 6</t>
  </si>
  <si>
    <t>Opgave 7</t>
  </si>
  <si>
    <t>Opgave 8</t>
  </si>
  <si>
    <t>Opgave 9</t>
  </si>
  <si>
    <t>Opgave 10</t>
  </si>
  <si>
    <t>Opgave 11</t>
  </si>
  <si>
    <t>Opgave 12</t>
  </si>
  <si>
    <t>Opgave 13</t>
  </si>
  <si>
    <t>Opgave 14</t>
  </si>
  <si>
    <t>Kaliumcarbonat</t>
  </si>
  <si>
    <t>Zinkiodid</t>
  </si>
  <si>
    <t>k+</t>
  </si>
  <si>
    <t>k2co3</t>
  </si>
  <si>
    <t>zni2</t>
  </si>
  <si>
    <t>zn2+</t>
  </si>
  <si>
    <t>i-</t>
  </si>
  <si>
    <t>ki</t>
  </si>
  <si>
    <t>znco3</t>
  </si>
  <si>
    <t>calciumchlorid</t>
  </si>
  <si>
    <t>aluminiumsulfat</t>
  </si>
  <si>
    <t>bariumchlorid</t>
  </si>
  <si>
    <t>ca2+</t>
  </si>
  <si>
    <t>cacl2</t>
  </si>
  <si>
    <t>na+</t>
  </si>
  <si>
    <t>po43-</t>
  </si>
  <si>
    <t>na3po4</t>
  </si>
  <si>
    <t>zinkcarbonat</t>
  </si>
  <si>
    <t>kaliumiodid</t>
  </si>
  <si>
    <t>calciumphosphat</t>
  </si>
  <si>
    <t>natriumchlorid</t>
  </si>
  <si>
    <t>Bly(II)nitrat</t>
  </si>
  <si>
    <t>Kaliumsulfat</t>
  </si>
  <si>
    <t>pb2+</t>
  </si>
  <si>
    <t>pb(no3)2</t>
  </si>
  <si>
    <t>k2so4</t>
  </si>
  <si>
    <t>pbso4</t>
  </si>
  <si>
    <t>kno3</t>
  </si>
  <si>
    <t>bly(II)sulfat</t>
  </si>
  <si>
    <t>kaliumnitrat</t>
  </si>
  <si>
    <t>jern(III)hydroxid</t>
  </si>
  <si>
    <t>cu2+</t>
  </si>
  <si>
    <t>cui2</t>
  </si>
  <si>
    <t>s2-</t>
  </si>
  <si>
    <t>(nh4)2s</t>
  </si>
  <si>
    <t>cus</t>
  </si>
  <si>
    <t>nh4i</t>
  </si>
  <si>
    <t>ammoniumiodid</t>
  </si>
  <si>
    <t>fe2(so4)3</t>
  </si>
  <si>
    <t>jern(III)sulfat</t>
  </si>
  <si>
    <t>mg2+</t>
  </si>
  <si>
    <t>mg(oh)2</t>
  </si>
  <si>
    <t>mgso4</t>
  </si>
  <si>
    <t>magnesiumsulfat</t>
  </si>
  <si>
    <t>Aluminiumbromid</t>
  </si>
  <si>
    <t>albr3</t>
  </si>
  <si>
    <t>k3po4</t>
  </si>
  <si>
    <t>alpo4</t>
  </si>
  <si>
    <t>kbr</t>
  </si>
  <si>
    <t>aluminiumphosphat</t>
  </si>
  <si>
    <t>kaliumbromid</t>
  </si>
  <si>
    <t>Natriumsulfid</t>
  </si>
  <si>
    <t>Bly(II)fluorid</t>
  </si>
  <si>
    <t>f-</t>
  </si>
  <si>
    <t>pbf2</t>
  </si>
  <si>
    <t>na2s</t>
  </si>
  <si>
    <t>pbs</t>
  </si>
  <si>
    <t>naf</t>
  </si>
  <si>
    <t>blu(II)sulfid</t>
  </si>
  <si>
    <t>natriumfluorid</t>
  </si>
  <si>
    <t>kobber(II)sulfat</t>
  </si>
  <si>
    <t>ammoniumphosphat</t>
  </si>
  <si>
    <t>cuso4</t>
  </si>
  <si>
    <t>(nh4)3po4</t>
  </si>
  <si>
    <t>cu3(po4)2</t>
  </si>
  <si>
    <t>kobber(II)phosphat</t>
  </si>
  <si>
    <t>bariumhydroxid</t>
  </si>
  <si>
    <t>kobber(II)chlorid</t>
  </si>
  <si>
    <t>ba(oh)2</t>
  </si>
  <si>
    <t>cucl2</t>
  </si>
  <si>
    <t>cu(oh)2</t>
  </si>
  <si>
    <t>kobber(II)hydroxid</t>
  </si>
  <si>
    <t>Aluminiumsulfat</t>
  </si>
  <si>
    <t>Jern(III)bromid</t>
  </si>
  <si>
    <t>febr3</t>
  </si>
  <si>
    <t>aluminiumbromid</t>
  </si>
  <si>
    <t>ch3coo-</t>
  </si>
  <si>
    <t>Opgave 15 EKSTRA SVÆR. Brug BASISKEMI C s. 197</t>
  </si>
  <si>
    <t>Calciumsulfit</t>
  </si>
  <si>
    <t>so32-</t>
  </si>
  <si>
    <t>caso3</t>
  </si>
  <si>
    <t>Kviksølv(II)acetat</t>
  </si>
  <si>
    <t>hg2+</t>
  </si>
  <si>
    <t>(ch3coo)2hg</t>
  </si>
  <si>
    <t>hg(ch3coo)2</t>
  </si>
  <si>
    <t>hgso3</t>
  </si>
  <si>
    <t>(ch3coo)2Ca</t>
  </si>
  <si>
    <t>calciumacetat</t>
  </si>
  <si>
    <t>kviksølv(II)sulfit</t>
  </si>
  <si>
    <t>CuSO₄</t>
  </si>
  <si>
    <t>(NH₄)₃PO₄</t>
  </si>
  <si>
    <t>Cu₃(PO₄)₂</t>
  </si>
  <si>
    <t>K₂CO₃</t>
  </si>
  <si>
    <t>Zn²⁺</t>
  </si>
  <si>
    <t>I⁻</t>
  </si>
  <si>
    <t>ZnI₂</t>
  </si>
  <si>
    <t>KI</t>
  </si>
  <si>
    <t>ZnCO₃</t>
  </si>
  <si>
    <t>Cl⁻</t>
  </si>
  <si>
    <t>Na₃PO₄</t>
  </si>
  <si>
    <t>Ca₃(PO₄)₂</t>
  </si>
  <si>
    <t>ca3(po4)2</t>
  </si>
  <si>
    <t>NaCl</t>
  </si>
  <si>
    <t>Pb(NO₃)₂</t>
  </si>
  <si>
    <t>K₂SO₄</t>
  </si>
  <si>
    <t>PbSO₄</t>
  </si>
  <si>
    <t>KNO₃</t>
  </si>
  <si>
    <t>CuI₂</t>
  </si>
  <si>
    <t>(NH₄)₂S</t>
  </si>
  <si>
    <t>NH₄I</t>
  </si>
  <si>
    <t>Fe₂(SO₄)₃</t>
  </si>
  <si>
    <t>Mg²⁺</t>
  </si>
  <si>
    <t>MgSO₄</t>
  </si>
  <si>
    <t>AlBr₃</t>
  </si>
  <si>
    <t>K₃PO₄</t>
  </si>
  <si>
    <t>AlPO₄</t>
  </si>
  <si>
    <t>KBr</t>
  </si>
  <si>
    <t>F⁻</t>
  </si>
  <si>
    <t>PbF₂</t>
  </si>
  <si>
    <t>Na₂S</t>
  </si>
  <si>
    <t>PbS</t>
  </si>
  <si>
    <t>NaF</t>
  </si>
  <si>
    <t>Ba(OH)₂</t>
  </si>
  <si>
    <t>CuCl₂</t>
  </si>
  <si>
    <t>BaCl₂</t>
  </si>
  <si>
    <t>Cu(OH)₂</t>
  </si>
  <si>
    <t>FeBr₃</t>
  </si>
  <si>
    <t>Hg²⁺</t>
  </si>
  <si>
    <t>CH₃COO⁻</t>
  </si>
  <si>
    <t>(CH₃COO)₂Hg</t>
  </si>
  <si>
    <t>SO₃²⁻</t>
  </si>
  <si>
    <t>CaSO₃</t>
  </si>
  <si>
    <t>HgSO₃</t>
  </si>
  <si>
    <t>(CH₃COO)₂Ca</t>
  </si>
  <si>
    <t>En kemiker blander opløsninger med jern(III)nitrat og NaOH. Skriv kemiske formler for de ioner, der indgår og dernæst ionforbindelserne</t>
  </si>
  <si>
    <t>En kemiker blander opløsninger med aluminiumsulfat og bariumchlorid. Skriv kemiske formler for de ioner, der indgår og dernæst ionforbindelserne</t>
  </si>
  <si>
    <t>En kemiker blander opløsninger med kaliumcarbonat og zinkiodid. Skriv kemiske formler for de ioner, der indgår og dernæst ionforbindelserne</t>
  </si>
  <si>
    <t>En kemiker blander opløsninger med calciumchlorid og natriumphosphat. Skriv kemiske formler for de ioner, der indgår og dernæst ionforbindelserne</t>
  </si>
  <si>
    <t>En kemiker blander opløsninger med bly(II)nitrat og kaliumsulfat. Skriv kemiske formler for de ioner, der indgår og dernæst ionforbindelserne</t>
  </si>
  <si>
    <t>En kemiker blander opløsninger med kobber(II)iodid og ammoiumsulfid. Skriv kemiske formler for de ioner, der indgår og dernæst ionforbindelserne</t>
  </si>
  <si>
    <t>En kemiker blander opløsninger med jern(III)sulfat og magnesiumhydroxid. Skriv kemiske formler for de ioner, der indgår og dernæst ionforbindelserne</t>
  </si>
  <si>
    <t>En kemiker blander opløsninger med aluminiumbromid og kaliumphosphat. Skriv kemiske formler for de ioner, der indgår og dernæst ionforbindelserne</t>
  </si>
  <si>
    <t>En kemiker blander opløsninger med bly(II)fluorid og natriumsulfid. Skriv kemiske formler for de ioner, der indgår og dernæst ionforbindelserne</t>
  </si>
  <si>
    <t>En kemiker blander opløsninger med kobber(II)sulfat og ammoniumphosphat. Skriv kemiske formler for de ioner, der indgår og dernæst ionforbindelserne</t>
  </si>
  <si>
    <t>En kemiker blander opløsninger med bariumhydroxid og kobber(II)chlorid. Skriv kemiske formler for de ioner, der indgår og dernæst ionforbindelserne</t>
  </si>
  <si>
    <t>En kemiker blander opløsninger med aluminiumsulfat og jern(III)bromid. Skriv kemiske formler for de ioner, der indgår og dernæst ionforbindelserne</t>
  </si>
  <si>
    <t>En kemiker blander opløsninger med kviksølv(II)acetat og calciumsulfit. Skriv kemiske formler for de ioner, der indgår og dernæst ionforbindelserne</t>
  </si>
  <si>
    <t>BaSO₄</t>
  </si>
  <si>
    <t>baso4</t>
  </si>
  <si>
    <t>NO</t>
  </si>
  <si>
    <t>N₂O</t>
  </si>
  <si>
    <t>II</t>
  </si>
  <si>
    <t>IV</t>
  </si>
  <si>
    <t>V</t>
  </si>
  <si>
    <t>I</t>
  </si>
  <si>
    <t>III</t>
  </si>
  <si>
    <t>VI</t>
  </si>
  <si>
    <t>CO</t>
  </si>
  <si>
    <t>C₂O₄²⁻</t>
  </si>
  <si>
    <t>HCO₃⁻</t>
  </si>
  <si>
    <t>CrO₄²⁻</t>
  </si>
  <si>
    <t>Cr₂O₇²⁻</t>
  </si>
  <si>
    <t>SO₃</t>
  </si>
  <si>
    <t>HSO₃⁻</t>
  </si>
  <si>
    <t>S₂O₈²⁻</t>
  </si>
  <si>
    <t>S₂O₃²⁻</t>
  </si>
  <si>
    <t>S₈</t>
  </si>
  <si>
    <t>VII</t>
  </si>
  <si>
    <t>NH₃</t>
  </si>
  <si>
    <t>-III</t>
  </si>
  <si>
    <t>-COH</t>
  </si>
  <si>
    <t>-COOH</t>
  </si>
  <si>
    <t>-CH₂OH</t>
  </si>
  <si>
    <t>-I</t>
  </si>
  <si>
    <t>-CO-</t>
  </si>
  <si>
    <t>-1</t>
  </si>
  <si>
    <t>OT(O)</t>
  </si>
  <si>
    <t>OT(Mn)</t>
  </si>
  <si>
    <t>MnO₂</t>
  </si>
  <si>
    <t>Mn²⁺</t>
  </si>
  <si>
    <t>MnO₄²⁻</t>
  </si>
  <si>
    <t>MnO₄⁻</t>
  </si>
  <si>
    <t>Samlet bidrag fra O</t>
  </si>
  <si>
    <t>Formlens ladning</t>
  </si>
  <si>
    <t>-II</t>
  </si>
  <si>
    <t>-IV</t>
  </si>
  <si>
    <t>+2</t>
  </si>
  <si>
    <t>-VIII</t>
  </si>
  <si>
    <t>Mn₂O₇</t>
  </si>
  <si>
    <t>-XVI</t>
  </si>
  <si>
    <t>+7</t>
  </si>
  <si>
    <t>-4</t>
  </si>
  <si>
    <t>0</t>
  </si>
  <si>
    <t>-8</t>
  </si>
  <si>
    <t>-14</t>
  </si>
  <si>
    <t>2</t>
  </si>
  <si>
    <t>-2</t>
  </si>
  <si>
    <t>4</t>
  </si>
  <si>
    <t>5</t>
  </si>
  <si>
    <t>1</t>
  </si>
  <si>
    <t>3</t>
  </si>
  <si>
    <t>-3</t>
  </si>
  <si>
    <t>6</t>
  </si>
  <si>
    <t>+4</t>
  </si>
  <si>
    <t>+5</t>
  </si>
  <si>
    <t>+1</t>
  </si>
  <si>
    <t>+3</t>
  </si>
  <si>
    <t>+6</t>
  </si>
  <si>
    <t>+0</t>
  </si>
  <si>
    <t>7</t>
  </si>
  <si>
    <t>OT(N)</t>
  </si>
  <si>
    <t>OT(C)</t>
  </si>
  <si>
    <t>OT(S)</t>
  </si>
  <si>
    <t>OT (C)</t>
  </si>
  <si>
    <t>H⁺</t>
  </si>
  <si>
    <t>1) Oxidationstal</t>
  </si>
  <si>
    <t>2) Ændringen i oxidationstal</t>
  </si>
  <si>
    <t>Fe</t>
  </si>
  <si>
    <t>Mn</t>
  </si>
  <si>
    <t>3) Ladning</t>
  </si>
  <si>
    <t>Antal atomer</t>
  </si>
  <si>
    <t>Ændring</t>
  </si>
  <si>
    <t>Tjek: Er stigningen i OT lig faldet i OT?</t>
  </si>
  <si>
    <t>Venstre</t>
  </si>
  <si>
    <t>Højre</t>
  </si>
  <si>
    <t>Hvor mange H⁺ skal tilføjes?</t>
  </si>
  <si>
    <t>Ladning højre side (produkter)</t>
  </si>
  <si>
    <t>Ladning venstre side (reaktanter)</t>
  </si>
  <si>
    <t>4) Afstemning med H₂O</t>
  </si>
  <si>
    <t>Antal H-atomer venstre side (reaktanter)</t>
  </si>
  <si>
    <t>Samlet ladning:</t>
  </si>
  <si>
    <t>Antal H-atomer højre side (produkter)</t>
  </si>
  <si>
    <t>surt miljø</t>
  </si>
  <si>
    <t>Antal H-atomer</t>
  </si>
  <si>
    <t>Hvor mange H₂O skal tilføjes?</t>
  </si>
  <si>
    <t>Tilføjelse af H₂O</t>
  </si>
  <si>
    <t>8</t>
  </si>
  <si>
    <t>Cu</t>
  </si>
  <si>
    <t>N</t>
  </si>
  <si>
    <t>Ændring pr atom:</t>
  </si>
  <si>
    <t>Cl</t>
  </si>
  <si>
    <t>Cl₂</t>
  </si>
  <si>
    <t>16</t>
  </si>
  <si>
    <t>HCOOH</t>
  </si>
  <si>
    <t>Cr³⁺</t>
  </si>
  <si>
    <t>C</t>
  </si>
  <si>
    <t>Cr</t>
  </si>
  <si>
    <t>Reaktionsskema 7</t>
  </si>
  <si>
    <t>Reaktionsskema 8</t>
  </si>
  <si>
    <t>basisk miljø</t>
  </si>
  <si>
    <t>Cr(OH)₃</t>
  </si>
  <si>
    <t>S</t>
  </si>
  <si>
    <t>Br</t>
  </si>
  <si>
    <t>Ag</t>
  </si>
  <si>
    <t>Ag₂O</t>
  </si>
  <si>
    <t>Zn</t>
  </si>
  <si>
    <t>O</t>
  </si>
  <si>
    <t>8a) Bestems OT for Mangan vha reglerne for oxidationstal</t>
  </si>
  <si>
    <t>8b) Angiv oxidationstal for Nitrogen</t>
  </si>
  <si>
    <t>8c) Angiv oxidationstal for Carbon</t>
  </si>
  <si>
    <t>8d) Angiv oxidationstal for Svovl</t>
  </si>
  <si>
    <t>8e) Angiv oxidationstal for Carbon i organiske grupper</t>
  </si>
  <si>
    <t>Indsæt oxidationstal for aktuelle atomer</t>
  </si>
  <si>
    <t>Kobber(II)iodid</t>
  </si>
  <si>
    <t>Ammoniumsulfid</t>
  </si>
  <si>
    <t>Opgaver til pH-beregnigner (s. 162-166 i BASISKEMI C)</t>
  </si>
  <si>
    <t>Opgaver til SyreBase-reaktioner (s. 153-161 i BASISKEMI C)</t>
  </si>
  <si>
    <t>CH₃COOH</t>
  </si>
  <si>
    <t>7a) Vigtige syrer og deres korresponderende baser</t>
  </si>
  <si>
    <t>H₃O⁺</t>
  </si>
  <si>
    <t>Kemisk formel for korresponderende base:</t>
  </si>
  <si>
    <t>Trivialnavn</t>
  </si>
  <si>
    <t>svovlsyre</t>
  </si>
  <si>
    <t>salpetersyre</t>
  </si>
  <si>
    <t>eddikesyre</t>
  </si>
  <si>
    <t>vand</t>
  </si>
  <si>
    <t>oxonium</t>
  </si>
  <si>
    <t>hydronium</t>
  </si>
  <si>
    <t>saltsyre</t>
  </si>
  <si>
    <t>ethansyre</t>
  </si>
  <si>
    <t>ammoniumion</t>
  </si>
  <si>
    <t>H₂CO₃</t>
  </si>
  <si>
    <t>dihydrogencarbonat</t>
  </si>
  <si>
    <t>kulsyre</t>
  </si>
  <si>
    <t>HSO₄⁻</t>
  </si>
  <si>
    <t>hso4-</t>
  </si>
  <si>
    <t>hco3-</t>
  </si>
  <si>
    <t>nh3</t>
  </si>
  <si>
    <t>h2o</t>
  </si>
  <si>
    <t>hydrogensulfat</t>
  </si>
  <si>
    <t>bisulfat</t>
  </si>
  <si>
    <t>chlorid</t>
  </si>
  <si>
    <t>acetat</t>
  </si>
  <si>
    <t>ethanoat</t>
  </si>
  <si>
    <t>ammoniak</t>
  </si>
  <si>
    <t>hydrogencarbonat</t>
  </si>
  <si>
    <t>bicarbonat</t>
  </si>
  <si>
    <t>dihydrogensulfat</t>
  </si>
  <si>
    <t>Pænt opskrevet</t>
  </si>
  <si>
    <t>m (g)</t>
  </si>
  <si>
    <t>V (mL)</t>
  </si>
  <si>
    <t>ρ(g/mL)</t>
  </si>
  <si>
    <t>92 g</t>
  </si>
  <si>
    <t>50 mL</t>
  </si>
  <si>
    <t>Indtast svar</t>
  </si>
  <si>
    <t>Størrelse</t>
  </si>
  <si>
    <t>1,84 g/mL</t>
  </si>
  <si>
    <t>1000 mL</t>
  </si>
  <si>
    <t>1840 g</t>
  </si>
  <si>
    <t>n(mol)</t>
  </si>
  <si>
    <t>98,079 g/mol</t>
  </si>
  <si>
    <t>m-%</t>
  </si>
  <si>
    <t>c(mol/L)</t>
  </si>
  <si>
    <t>V(L)</t>
  </si>
  <si>
    <t>1 L</t>
  </si>
  <si>
    <t>18 mol</t>
  </si>
  <si>
    <t>18 M</t>
  </si>
  <si>
    <t>[H₃O⁺]</t>
  </si>
  <si>
    <t>[OH⁻]</t>
  </si>
  <si>
    <t>pOH</t>
  </si>
  <si>
    <t>[H₃O⁺] / M</t>
  </si>
  <si>
    <t>[OH⁻] / M</t>
  </si>
  <si>
    <t>n(NaOH)</t>
  </si>
  <si>
    <t>1,00 L</t>
  </si>
  <si>
    <t>6,31∙10⁻¹⁶ M</t>
  </si>
  <si>
    <t>15,8 M</t>
  </si>
  <si>
    <t>Hvad er den formelle koncentration af KOH i afløbsrens?</t>
  </si>
  <si>
    <t>Hvor mange mol KOH indeholder 1,00 L afløbsrens?</t>
  </si>
  <si>
    <t>Hvad mange gram KOH indeholder 1,00 L afløbsrens?</t>
  </si>
  <si>
    <t>15,8 mol</t>
  </si>
  <si>
    <t>56,11 g/mol</t>
  </si>
  <si>
    <t>889 g</t>
  </si>
  <si>
    <t>Hvad er masseprocenten af KOH i afløbsrens?</t>
  </si>
  <si>
    <t>m(KOH)</t>
  </si>
  <si>
    <t>m(total)</t>
  </si>
  <si>
    <t>1500 g</t>
  </si>
  <si>
    <t xml:space="preserve">Opgave b) </t>
  </si>
  <si>
    <t>Beregning mellem pH, H₃O⁺, OH⁻ og pOH</t>
  </si>
  <si>
    <t>pH</t>
  </si>
  <si>
    <t>Opg a</t>
  </si>
  <si>
    <t>Opg b</t>
  </si>
  <si>
    <t>Opg c</t>
  </si>
  <si>
    <t>Opg d</t>
  </si>
  <si>
    <t>Opg e</t>
  </si>
  <si>
    <t>1766 g</t>
  </si>
  <si>
    <t>2,03∙10⁻²</t>
  </si>
  <si>
    <t>7,842∙10³</t>
  </si>
  <si>
    <t>4∙10⁻²</t>
  </si>
  <si>
    <t>4,00∙10²</t>
  </si>
  <si>
    <t>4∙10⁻¹</t>
  </si>
  <si>
    <t>1,2000∙10⁴</t>
  </si>
  <si>
    <t>4,021∙10³</t>
  </si>
  <si>
    <t>4,02000∙10⁵</t>
  </si>
  <si>
    <t>6,4 mio</t>
  </si>
  <si>
    <t>6,4∙10⁶</t>
  </si>
  <si>
    <t>Udfyld UDEN enheder</t>
  </si>
  <si>
    <t>Opgave a) Beregning på afløbsrens</t>
  </si>
  <si>
    <r>
      <rPr>
        <b/>
        <sz val="14"/>
        <color theme="1"/>
        <rFont val="Calibri"/>
        <family val="2"/>
        <scheme val="minor"/>
      </rPr>
      <t xml:space="preserve">Decimaler: </t>
    </r>
    <r>
      <rPr>
        <sz val="14"/>
        <color theme="1"/>
        <rFont val="Calibri"/>
        <family val="2"/>
        <scheme val="minor"/>
      </rPr>
      <t>Antal cifre efter kommaet.</t>
    </r>
  </si>
  <si>
    <r>
      <rPr>
        <b/>
        <sz val="14"/>
        <color theme="1"/>
        <rFont val="Calibri"/>
        <family val="2"/>
        <scheme val="minor"/>
      </rPr>
      <t xml:space="preserve">Betydende cifre: </t>
    </r>
    <r>
      <rPr>
        <sz val="14"/>
        <color theme="1"/>
        <rFont val="Calibri"/>
        <family val="2"/>
        <scheme val="minor"/>
      </rPr>
      <t>Antal cifre efter det første ikke-0-ciffer, når tallet læses fra venstre.</t>
    </r>
  </si>
  <si>
    <t>Opgaver til betydende cifre (s. 79-80 i BASISKEMI C)</t>
  </si>
  <si>
    <t>Opgaver til Stofmængdekoncentration (s. 102 i BASISKEMI C)</t>
  </si>
  <si>
    <t>2.2 Opskriv og afstem fældningsreaktionsskemaer</t>
  </si>
  <si>
    <t>1.2 Afstem reaktionsskemaer med koefficienter</t>
  </si>
  <si>
    <t>2.1 Opgaver til ioner og ionforbindelser (s. 31-38  i BASISKEMI C)</t>
  </si>
  <si>
    <t>1.1 Opgaver til Grundstoffer og Elektronstruktur (s. 7-28  i BASISKEMI C)</t>
  </si>
  <si>
    <t>3.1 Opgaver til molekyler og polaritet (s. 53, 67-74 i BASISKEMI C)</t>
  </si>
  <si>
    <t>Disse opgaver er taget fra  Kasper Høyrup Swiatek</t>
  </si>
  <si>
    <t>Phosphat</t>
  </si>
  <si>
    <t>Jern(II)ion</t>
  </si>
  <si>
    <t>Fe₃(PO₄)₂</t>
  </si>
  <si>
    <t>Opgave 1)</t>
  </si>
  <si>
    <t>C₆H₁₃Br</t>
  </si>
  <si>
    <t>Dibrom</t>
  </si>
  <si>
    <t>Jern(II)phosphat</t>
  </si>
  <si>
    <t>Hexan</t>
  </si>
  <si>
    <t>Bromhexan</t>
  </si>
  <si>
    <t>Er opgaven løst?</t>
  </si>
  <si>
    <t>Opgave 2) Dibrom og hexan</t>
  </si>
  <si>
    <r>
      <rPr>
        <b/>
        <sz val="11"/>
        <color theme="1"/>
        <rFont val="Calibri"/>
        <family val="2"/>
        <scheme val="minor"/>
      </rPr>
      <t>Intro:</t>
    </r>
    <r>
      <rPr>
        <sz val="8"/>
        <color theme="1"/>
        <rFont val="Calibri"/>
        <family val="2"/>
        <scheme val="minor"/>
      </rPr>
      <t xml:space="preserve"> Kunst</t>
    </r>
    <r>
      <rPr>
        <sz val="9"/>
        <color theme="1"/>
        <rFont val="Calibri"/>
        <family val="2"/>
        <scheme val="minor"/>
      </rPr>
      <t>gødning medfører desværre overskydende phosphat i spildevandet. Det fjernes normalvis på rensningsanlægget for at undgå uønsket algevækst.
Typisk fjernes phosphat ved udfældning med jern(II)ioner - som skitseret på nedenstående reaktionsskema:</t>
    </r>
  </si>
  <si>
    <t>Opgave 1) Phosphor i spildevand</t>
  </si>
  <si>
    <t>Opgave 3) Gæring af sukker</t>
  </si>
  <si>
    <t>C₆H₁₂O₆</t>
  </si>
  <si>
    <t>Druesukker</t>
  </si>
  <si>
    <t>+</t>
  </si>
  <si>
    <t>C₂H₅OH</t>
  </si>
  <si>
    <t>Ethanol</t>
  </si>
  <si>
    <t>Carbondioxid</t>
  </si>
  <si>
    <t>Opgave 4) Forbrænding af sukker</t>
  </si>
  <si>
    <r>
      <rPr>
        <b/>
        <sz val="11"/>
        <color theme="1"/>
        <rFont val="Calibri"/>
        <family val="2"/>
        <scheme val="minor"/>
      </rPr>
      <t>Intro</t>
    </r>
    <r>
      <rPr>
        <b/>
        <sz val="9"/>
        <color theme="1"/>
        <rFont val="Calibri"/>
        <family val="2"/>
        <scheme val="minor"/>
      </rPr>
      <t>:</t>
    </r>
    <r>
      <rPr>
        <sz val="9"/>
        <color theme="1"/>
        <rFont val="Calibri"/>
        <family val="2"/>
        <scheme val="minor"/>
      </rPr>
      <t xml:space="preserve"> Ved en gæring omdannes sukker til ethanol. Ret sejt, når man tænker over det. Det fungerer dog kun, når luftens ilt ikke er til stede.
Derimod skal der være gærceller til stede, som katalyserer nedenstående reaktion:</t>
    </r>
  </si>
  <si>
    <t>Dioxygen</t>
  </si>
  <si>
    <t>Vand</t>
  </si>
  <si>
    <r>
      <rPr>
        <b/>
        <sz val="11"/>
        <color theme="1"/>
        <rFont val="Calibri"/>
        <family val="2"/>
        <scheme val="minor"/>
      </rPr>
      <t>Intro</t>
    </r>
    <r>
      <rPr>
        <b/>
        <sz val="9"/>
        <color theme="1"/>
        <rFont val="Calibri"/>
        <family val="2"/>
        <scheme val="minor"/>
      </rPr>
      <t>:</t>
    </r>
    <r>
      <rPr>
        <sz val="9"/>
        <color theme="1"/>
        <rFont val="Calibri"/>
        <family val="2"/>
        <scheme val="minor"/>
      </rPr>
      <t xml:space="preserve"> Sammen med ilt indgår druesukker i en vigtig kemisk reaktion - nemlig den forbrænding, som leverer energi til livet omkring os.
Reaktionen danner CO₂, som udskilles ved udånding. Et gennemsnitligt menneske forbruger energi svarende til 540 g druesukker hver dag. </t>
    </r>
  </si>
  <si>
    <t>Reaktionsskema 9</t>
  </si>
  <si>
    <t>Reaktionsskema 10</t>
  </si>
  <si>
    <t>Reaktionsskema 11</t>
  </si>
  <si>
    <t>Reaktionsskema 12</t>
  </si>
  <si>
    <t>Reaktionsskema 13</t>
  </si>
  <si>
    <t>Reaktionsskema 14</t>
  </si>
  <si>
    <t>Reaktionsskema 15</t>
  </si>
  <si>
    <t>Opgave 2)</t>
  </si>
  <si>
    <t>Opgave 3)</t>
  </si>
  <si>
    <t>Opgave 4)</t>
  </si>
  <si>
    <t>Opgave 5)</t>
  </si>
  <si>
    <t>M (g/mol)</t>
  </si>
  <si>
    <t>n (mol)</t>
  </si>
  <si>
    <t>m,total  (g)</t>
  </si>
  <si>
    <t>m,svovlsyre (g)</t>
  </si>
  <si>
    <t>m-%,svovlsyre</t>
  </si>
  <si>
    <t>Opløsningen indeholder OH⁻, som er dannet ud fra det letopløselige KOH.</t>
  </si>
  <si>
    <t>c(KOH)</t>
  </si>
  <si>
    <t>Beregn værdierne for [H₃O⁺], pOH og [OH⁻] i en afløbsrens med en pH-værdi på 15,2</t>
  </si>
  <si>
    <t>Opløsningen med 1,00 L afløbsrens vejer samlet set 1500 g.</t>
  </si>
  <si>
    <t>snyd</t>
  </si>
  <si>
    <t>proton</t>
  </si>
  <si>
    <t>Kernepartikel med neutral ladning</t>
  </si>
  <si>
    <t>Neutron</t>
  </si>
  <si>
    <t>Skriv X i de røde felter, hvis du ønsker et hint</t>
  </si>
  <si>
    <t>Skriv X for hint</t>
  </si>
  <si>
    <t>At man kan opløse over 2 g af et salt i 100 mL vand</t>
  </si>
  <si>
    <t>At man kan opløse under 2 g af et salt i 100 mL vand</t>
  </si>
  <si>
    <t>Antallet af protoner (symbol:Z)</t>
  </si>
  <si>
    <t>De lodrette søjler i et periodisk system.</t>
  </si>
  <si>
    <t>gruppe</t>
  </si>
  <si>
    <t>hovedgruppe</t>
  </si>
  <si>
    <t>atomnummer</t>
  </si>
  <si>
    <t>grundstofnummer</t>
  </si>
  <si>
    <t>Beskrivelse af fagordet</t>
  </si>
  <si>
    <t>tungtopløselig</t>
  </si>
  <si>
    <t>letopløselig</t>
  </si>
  <si>
    <t>krystalvand</t>
  </si>
  <si>
    <t>Vandmolekyler, der sidder imellem ionerne i et iongitter</t>
  </si>
  <si>
    <t>2) IONER OG IONFORBINDELSER - Gæt fagordet - og skriv ordet i de lyseblå felter</t>
  </si>
  <si>
    <t>1) ATOMER OG GRUNDSTOFFER - Gæt fagordet - og skriv ordet i de lyseblå felter</t>
  </si>
  <si>
    <t>tilskuerion</t>
  </si>
  <si>
    <t>Ladede partikler, der ikke indgår i en fældningsreaktion, men forbliver vandig opløst</t>
  </si>
  <si>
    <t>DEN STORE KEMI-C FAGORDSQUIZ</t>
  </si>
  <si>
    <t>3) Atomer og Grundstoffer - Gæt fagordet - og skriv ordet i de lyseblå felter</t>
  </si>
  <si>
    <t>fældningsreaktion</t>
  </si>
  <si>
    <t>Reaktionstype, hvor et tungtopløseligt salt dannes efter blanding af to opløsninger af letopløselige salte</t>
  </si>
  <si>
    <t>Bundfald</t>
  </si>
  <si>
    <t>En forbindelse mellem negative og positive ioner</t>
  </si>
  <si>
    <t>ionforbindelse</t>
  </si>
  <si>
    <t>trivialnavn</t>
  </si>
  <si>
    <t>En beskrivelse, der forholder sig til det molekylære niveau</t>
  </si>
  <si>
    <t>mikroskopisk</t>
  </si>
  <si>
    <t>sammensat</t>
  </si>
  <si>
    <t>En type ion, der består af flere atomer, der tilsammen har optaget eller afgivet elektroner, fx NO₃⁻</t>
  </si>
  <si>
    <t>molekylformel</t>
  </si>
  <si>
    <t>polær</t>
  </si>
  <si>
    <t>hydrofil</t>
  </si>
  <si>
    <t>Den rumlige struktur for fx CH₄, hvor bindingsvinklerne er 109,5°</t>
  </si>
  <si>
    <t>Betyder vandelskende og er et synonym for en polær forbindelse</t>
  </si>
  <si>
    <t>tetraede</t>
  </si>
  <si>
    <t>En skæv fordeling af elektroner pga forskel i elektronegativitet.</t>
  </si>
  <si>
    <t>Et ikke-bindende elektronpar som knytter sig til et atom</t>
  </si>
  <si>
    <t>ledigt</t>
  </si>
  <si>
    <t>lone pair</t>
  </si>
  <si>
    <t>Bindingstypen mellem to ikke-metaller, der danner et fælles elektronpar. </t>
  </si>
  <si>
    <t>kovalent</t>
  </si>
  <si>
    <t>Værdi, der beskriver atomers evne til at tiltrække elektroner</t>
  </si>
  <si>
    <t>elektronegativitet</t>
  </si>
  <si>
    <t>En type kemisk formel, der giver overblik over molekyleres rumlige opbygning</t>
  </si>
  <si>
    <t>En type kemisk formel, som angiver atomerne, der indgår i molekylet, men ikke den rumlige opbygning</t>
  </si>
  <si>
    <t>kemisk formel</t>
  </si>
  <si>
    <t>strukturformel</t>
  </si>
  <si>
    <t>En binding, hvor der deles 2 elektronpar i samme binding</t>
  </si>
  <si>
    <t>dobbel</t>
  </si>
  <si>
    <t>En type kemisk formel der viser alle elektroner fra yderste skal. Ofte symboliseret med prikker.</t>
  </si>
  <si>
    <t>prikformel</t>
  </si>
  <si>
    <t>Positiv ion</t>
  </si>
  <si>
    <t>Opskriv de ioner der indgår</t>
  </si>
  <si>
    <t>Ba2+</t>
  </si>
  <si>
    <t>Antal ioner pr formelenhed</t>
  </si>
  <si>
    <t>Reaktionsskema:</t>
  </si>
  <si>
    <t>Stofmængder før reaktion:</t>
  </si>
  <si>
    <t>Stofmængder efter reaktion:</t>
  </si>
  <si>
    <t>Aktuelle koncentrationer:</t>
  </si>
  <si>
    <t>Fejltjek:</t>
  </si>
  <si>
    <t>Tjek for afstemning:</t>
  </si>
  <si>
    <t>Tjek for ioner:</t>
  </si>
  <si>
    <t>Negativ ion</t>
  </si>
  <si>
    <t>V (L)</t>
  </si>
  <si>
    <t>Videnskabelig notation i Excel</t>
  </si>
  <si>
    <t>4) Mængdeberegning - Gæt fagordet - og skriv ordet i de lyseblå felter</t>
  </si>
  <si>
    <t>Forholdet mellem 2 koefficienter i et reaktionsskema</t>
  </si>
  <si>
    <t>antalsforhold</t>
  </si>
  <si>
    <t>støkiometrisk</t>
  </si>
  <si>
    <t>volumen</t>
  </si>
  <si>
    <t>rumfang</t>
  </si>
  <si>
    <t>densitet</t>
  </si>
  <si>
    <t>massefylde</t>
  </si>
  <si>
    <t>metaller, der har en densitet på mere end 7 g/mL</t>
  </si>
  <si>
    <t>tungmetal</t>
  </si>
  <si>
    <t>Størrelse, der angiver antallet af stofenheder. Angives i enheden: mol</t>
  </si>
  <si>
    <t>Størrelse, der angiver forholdet mellem masse og volumen. Angives i kemi med enheden: g/mL</t>
  </si>
  <si>
    <t>stofmængde</t>
  </si>
  <si>
    <t>Når forholdet mellem stofmængderne svarer til forholdet mellem koefficienterne i reaktionsskemaet</t>
  </si>
  <si>
    <t>ækvivalent</t>
  </si>
  <si>
    <t>Spørg</t>
  </si>
  <si>
    <t>Temperaturen hvor kelvintemperaturen er 0 K (-273,15°C) - som er den laveste temperatur</t>
  </si>
  <si>
    <t>absolut</t>
  </si>
  <si>
    <t>det absolutte nulpunkt</t>
  </si>
  <si>
    <t>gaskonstant</t>
  </si>
  <si>
    <t>proportionalitetskonstant</t>
  </si>
  <si>
    <t>Sammenhæng mellem tryk, volumen, stofmængde og temperatur</t>
  </si>
  <si>
    <t>idealgasl</t>
  </si>
  <si>
    <t>Symbolet R, som indgår i idealgasloven</t>
  </si>
  <si>
    <t>molarmasse</t>
  </si>
  <si>
    <t>molare masse</t>
  </si>
  <si>
    <t>5) Atomer og Grundstoffer - Gæt fagordet - og skriv ordet i de lyseblå felter</t>
  </si>
  <si>
    <t>Størrelse, der angiver stofmængde pr volumenenhed.</t>
  </si>
  <si>
    <t>koncentration</t>
  </si>
  <si>
    <t>stofmængdekonc</t>
  </si>
  <si>
    <t>målekolbe</t>
  </si>
  <si>
    <t>Glasudstyr som bruges til at afmåle og overføre opløsninger</t>
  </si>
  <si>
    <t>pipette</t>
  </si>
  <si>
    <t>mikropipette</t>
  </si>
  <si>
    <t xml:space="preserve">Når der tilsættes vand til en vandig opløsning, og koncentrationen derved sænkes </t>
  </si>
  <si>
    <t>fortynding</t>
  </si>
  <si>
    <t>mættet</t>
  </si>
  <si>
    <t>aktuel</t>
  </si>
  <si>
    <t>Det glasudstyr man typisk bruger til at foretage en titrering</t>
  </si>
  <si>
    <t>indikator</t>
  </si>
  <si>
    <t>farveindikator</t>
  </si>
  <si>
    <t>burette</t>
  </si>
  <si>
    <t>titrer</t>
  </si>
  <si>
    <t>Det sted, hvor man netop har tilsat ækvivalente mængder i en titreringsanalyse</t>
  </si>
  <si>
    <t>ækvivalenspunkt</t>
  </si>
  <si>
    <t>Type koncentration, der tager højde for kemiske reaktioner og angiver hvad opløsningen faktisk indeholder</t>
  </si>
  <si>
    <t>En analysemetode, hvor man bestemmer en ukendt koncentrationen via tildrypning</t>
  </si>
  <si>
    <t>6) Organisk kemi - Gæt fagordet - og skriv ordet i de lyseblå felter</t>
  </si>
  <si>
    <t>Tip:</t>
  </si>
  <si>
    <t>7) Syre-basereaktioner - Gæt fagordet - og skriv ordet i de lyseblå felter</t>
  </si>
  <si>
    <t>8) Redoxreaktioner - Gæt fagordet - og skriv ordet i de lyseblå felter</t>
  </si>
  <si>
    <t>Efter skemaet er udfyldt, kan du træne udvalgte fagord ved at kopiere fra A og G-søjlen ind i en ny quiz på quizlet.com. Herfra kan du spille vendespil, gravity og quizlet-live-battle.</t>
  </si>
  <si>
    <t>organisk</t>
  </si>
  <si>
    <t>Antallet af bindinger, som C-atomet altid danner</t>
  </si>
  <si>
    <t>Type strukturformel, hvor man kun tegner kovalente bindinger mellem C-atomerne</t>
  </si>
  <si>
    <t>zigzag</t>
  </si>
  <si>
    <t>Begreb, som bruges når 2 stoffer har samme molekylformel men forskellig strukturformel</t>
  </si>
  <si>
    <t>isomeri</t>
  </si>
  <si>
    <t>substitution</t>
  </si>
  <si>
    <t>Reaktionstype, hvor en dobbeltbinding sprænges, og derved giver plads til nye bindinger</t>
  </si>
  <si>
    <t>addition</t>
  </si>
  <si>
    <t>En carbonhydrid, der kun indeholder enkeltbindinger</t>
  </si>
  <si>
    <t>alkan</t>
  </si>
  <si>
    <t>Navnet på den sidekæde, der indeholder 2 carbonatomer. Dvs -CH₂CH₃</t>
  </si>
  <si>
    <t>ethyl</t>
  </si>
  <si>
    <t>De egenskaber som omfatter stoffets smeltepunkt, kogepunkt, densitet og opløselighedsforhold mm.</t>
  </si>
  <si>
    <t>fysisk</t>
  </si>
  <si>
    <t xml:space="preserve">Den stofklasse af organiske forbindelser, der indeholder hydroxy-grupper (dvs OH-grupper) </t>
  </si>
  <si>
    <t>alkoholer</t>
  </si>
  <si>
    <t>støkiometrisk forhold</t>
  </si>
  <si>
    <t>Du kan få et hint til hvert ord ved at skrive et X i den røde søjle. Hvis du skriver XX, får du et endnu bedre hint. Hvis du skriver HJÆLP i den røde søjle, vises hvilken side i BasisC, hvor ordet er beskrevet.</t>
  </si>
  <si>
    <t>Navnet for den sammensatte ion, H₃O⁺, som dannes når en syre reagerer med vand</t>
  </si>
  <si>
    <t>Et stof, der kan modtage en hydron (H⁺)</t>
  </si>
  <si>
    <t>base</t>
  </si>
  <si>
    <t>korresponderende</t>
  </si>
  <si>
    <t>Betegnelsen, der angiver at en syre omdannes til syrens tilhørende basemodpart</t>
  </si>
  <si>
    <t>Trivialnavnet for ethansyre (CH₃COOH)</t>
  </si>
  <si>
    <t>svag</t>
  </si>
  <si>
    <t>En opløsning, hvor det gælder at [H₃O⁺] &gt; [OH⁻]</t>
  </si>
  <si>
    <t>sur</t>
  </si>
  <si>
    <t>vands autohydronolyse</t>
  </si>
  <si>
    <t>Navnet på følgende sammenhæng: [H₃O⁺]∙[OH⁻]=1,0∙10⁻¹⁴</t>
  </si>
  <si>
    <t>vands ionprodukt</t>
  </si>
  <si>
    <t>autohydronolyse</t>
  </si>
  <si>
    <t>Betegnelsen for syrer, som ikke reagerer fuldstændigt med vand. Fx ethansyre</t>
  </si>
  <si>
    <t>Navnet for vands syre-basereaktion med sig selv</t>
  </si>
  <si>
    <t>kolorimetrisk</t>
  </si>
  <si>
    <t>Resultaterne godkendes inden for 2% afvigelse.</t>
  </si>
  <si>
    <t>Et mål for hvor mange elektroner som er helt/delivst afgivet eller overført pr atom.</t>
  </si>
  <si>
    <t>En række af grundstoffer, som er placeret efter deres villighed til at afgive elektroner</t>
  </si>
  <si>
    <t>oxidation</t>
  </si>
  <si>
    <t>reduktion</t>
  </si>
  <si>
    <t>redoxreaktion</t>
  </si>
  <si>
    <t>oxidationstal</t>
  </si>
  <si>
    <t>spændingsrække</t>
  </si>
  <si>
    <t>ædelmetal</t>
  </si>
  <si>
    <t>kaliumpermanganat</t>
  </si>
  <si>
    <t>ilt</t>
  </si>
  <si>
    <t>En delvis eller fuldstændig optagelse af elektroner</t>
  </si>
  <si>
    <t>En delvis eller fuldstændig afgivelse af elektroner</t>
  </si>
  <si>
    <t>Navnet for forbindelsen H₂O₂, som ofte bruges i redoxreaktioner</t>
  </si>
  <si>
    <t>hydrogenperoxid</t>
  </si>
  <si>
    <t>brintoverilte</t>
  </si>
  <si>
    <t>181, opg 35</t>
  </si>
  <si>
    <t>brint</t>
  </si>
  <si>
    <t>Navnet for gassen, H₂, som indgår i spændingsrækken</t>
  </si>
  <si>
    <t>Grundstoffet med en elektronegativitetsværdi på 3,5, som ofte har oxidationtallet -II</t>
  </si>
  <si>
    <t>Skriv i de lyseblå felter - og angiv dit svar uden enheder.</t>
  </si>
  <si>
    <t>Na₂SO₃</t>
  </si>
  <si>
    <t>natriumsulfit</t>
  </si>
  <si>
    <t>Reaktionsskema1:</t>
  </si>
  <si>
    <t>Reaktionsskema2:</t>
  </si>
  <si>
    <t>Opgave 2) Hvor meget skal afvejes for at fremstille 500 mL 0,200 M sølvnitrat?</t>
  </si>
  <si>
    <t>Opgave 3) Hvor meget skal afvejes for at fremstille 100 mL 0,500 M natriumhydroxid?</t>
  </si>
  <si>
    <t>V,total efter sammenblanding:</t>
  </si>
  <si>
    <t>kaliumcarbonat</t>
  </si>
  <si>
    <t>I følgende opgaver sker der ikke nogen fældningsreaktioner.</t>
  </si>
  <si>
    <t>Region</t>
  </si>
  <si>
    <t>n(AgNO₃) &gt; n(NaCl)</t>
  </si>
  <si>
    <t>n(AgNO₃) = n(NaCl)</t>
  </si>
  <si>
    <t>n(AgNO₃) &lt; n(NaCl)</t>
  </si>
  <si>
    <t>AgCl (s)</t>
  </si>
  <si>
    <t>Farve</t>
  </si>
  <si>
    <t>Ag₂CrO₄ (s)</t>
  </si>
  <si>
    <t>n(K₂CrO₄) start</t>
  </si>
  <si>
    <t>Stofmængde, tilsat:</t>
  </si>
  <si>
    <t>c(AgNO₃)</t>
  </si>
  <si>
    <t>V,AgNO₃ (mL)</t>
  </si>
  <si>
    <t>Titreringsreaktion:</t>
  </si>
  <si>
    <t>Indikator-reaktion:</t>
  </si>
  <si>
    <t>Navn for korresponderende base:</t>
  </si>
  <si>
    <t>Overskud af NaCl</t>
  </si>
  <si>
    <t>Ækvivalenspunkt</t>
  </si>
  <si>
    <t>Overskud af AgNO₃</t>
  </si>
  <si>
    <t>Virtuel Mohr-titrering (s. 112 i BASISKEMI C)</t>
  </si>
  <si>
    <t>Observationer</t>
  </si>
  <si>
    <t>Formål:</t>
  </si>
  <si>
    <t>Eksperiment:</t>
  </si>
  <si>
    <t xml:space="preserve">Saltindholdet i toastbrød analyseres vha en titreringsmetode. </t>
  </si>
  <si>
    <t xml:space="preserve">Tilsæt en lille smule af gangen indtil kolbens farve begynder at skifter til orange. </t>
  </si>
  <si>
    <t>CrO₄²⁻ (aq)</t>
  </si>
  <si>
    <t>2 Ag⁺ (aq)   +</t>
  </si>
  <si>
    <t>Stofmængder efter titreringsreaktion:</t>
  </si>
  <si>
    <t>Stofmængder efter indikatorreaktion:</t>
  </si>
  <si>
    <t>Stofmængder før indikatorreaktion:</t>
  </si>
  <si>
    <t>Efterbehandling:</t>
  </si>
  <si>
    <t>Cl⁻ (aq)</t>
  </si>
  <si>
    <t>Ag⁺ (aq)    +</t>
  </si>
  <si>
    <t>gul</t>
  </si>
  <si>
    <t>ora</t>
  </si>
  <si>
    <t>Rød</t>
  </si>
  <si>
    <t>n,AgNO₃ (mmol)</t>
  </si>
  <si>
    <t>n,NaCl (mmol)</t>
  </si>
  <si>
    <t>M,NaCl (g/mol)</t>
  </si>
  <si>
    <t>m,NaCl (g)</t>
  </si>
  <si>
    <t>m,blanding (g)</t>
  </si>
  <si>
    <t>m,%NaCl</t>
  </si>
  <si>
    <t>Indtast UDEN enheder</t>
  </si>
  <si>
    <t>Brug dit ækvivalenspunkt til at beregne saltindholdet i de 10,00 g toastbrød</t>
  </si>
  <si>
    <t>Diskussion:</t>
  </si>
  <si>
    <t>Afvigelses-%</t>
  </si>
  <si>
    <t>Beregn densiteten for konc. svovlsyre, idet du bruger formlen ρ=m/V</t>
  </si>
  <si>
    <t>Rigtigt svar</t>
  </si>
  <si>
    <t>brugersvar</t>
  </si>
  <si>
    <t>Falsk</t>
  </si>
  <si>
    <t>Sandt</t>
  </si>
  <si>
    <t>Afvigelsen skyldes at vi overtitrerede</t>
  </si>
  <si>
    <t>Etiketteværdien er ikke nødvendigvis den rigtige værdi.</t>
  </si>
  <si>
    <t>Afvigelsen kunne skyldes, at sølvnitraten var for gammel.</t>
  </si>
  <si>
    <t>Afvigelsen kunne skyldes luftbobler i buretten</t>
  </si>
  <si>
    <t>På etiketten er saltinholdet angivet til 1,152%. Beregn afvigelsen</t>
  </si>
  <si>
    <t>I Excel opskrives videnskabelig notation som 1,0e-14 og betyder 1,0∙10⁻¹⁴.</t>
  </si>
  <si>
    <t>Fordelen ved videnskabelig notation er, at du altid kan afrunde til det ønskede antal betydende cifre.</t>
  </si>
  <si>
    <r>
      <rPr>
        <b/>
        <sz val="11"/>
        <color theme="1"/>
        <rFont val="Calibri"/>
        <family val="2"/>
        <scheme val="minor"/>
      </rPr>
      <t xml:space="preserve">Opgave: </t>
    </r>
    <r>
      <rPr>
        <sz val="9"/>
        <color theme="1"/>
        <rFont val="Calibri"/>
        <family val="2"/>
        <scheme val="minor"/>
      </rPr>
      <t>Udfyld mængdeberegningsskemaet og vis hvor mange gram CO₂ et gennemsnitligt menneske dagligt producerer.</t>
    </r>
  </si>
  <si>
    <t>Opgave 6)</t>
  </si>
  <si>
    <t>Opgave 5) Kalkfjerner</t>
  </si>
  <si>
    <t>CaCO₃</t>
  </si>
  <si>
    <r>
      <rPr>
        <b/>
        <sz val="11"/>
        <color theme="1"/>
        <rFont val="Calibri"/>
        <family val="2"/>
        <scheme val="minor"/>
      </rPr>
      <t>Intro</t>
    </r>
    <r>
      <rPr>
        <b/>
        <sz val="9"/>
        <color theme="1"/>
        <rFont val="Calibri"/>
        <family val="2"/>
        <scheme val="minor"/>
      </rPr>
      <t>:</t>
    </r>
    <r>
      <rPr>
        <sz val="9"/>
        <color theme="1"/>
        <rFont val="Calibri"/>
        <family val="2"/>
        <scheme val="minor"/>
      </rPr>
      <t xml:space="preserve"> Sprængstoffet TriNitroToluene (TNT) kan fremstilles relativt billigt. Det kræver at man blander toluene med salpetersyre og svovlsyre som katalysator.
TNT er ligesom nitroglycerin (dynamit) kendetegnet ved at indeholde nitrogrupper, der hurtigt danner enorme mængder gas, når det detoneres.</t>
    </r>
  </si>
  <si>
    <t>C₉H₁₁</t>
  </si>
  <si>
    <t>toluene</t>
  </si>
  <si>
    <t>Trinitrotoluene</t>
  </si>
  <si>
    <t>Salpetersyre</t>
  </si>
  <si>
    <r>
      <rPr>
        <b/>
        <sz val="11"/>
        <color theme="1"/>
        <rFont val="Calibri"/>
        <family val="2"/>
        <scheme val="minor"/>
      </rPr>
      <t xml:space="preserve">Opgave: </t>
    </r>
    <r>
      <rPr>
        <sz val="9"/>
        <color theme="1"/>
        <rFont val="Calibri"/>
        <family val="2"/>
        <scheme val="minor"/>
      </rPr>
      <t>Udfyld mængdeberegningsskemaet og vis hvor mange gram ethanol, der dannes, når man gærer 1000 g sukker.</t>
    </r>
  </si>
  <si>
    <r>
      <rPr>
        <b/>
        <sz val="11"/>
        <color theme="1"/>
        <rFont val="Calibri"/>
        <family val="2"/>
        <scheme val="minor"/>
      </rPr>
      <t>Intro</t>
    </r>
    <r>
      <rPr>
        <b/>
        <sz val="9"/>
        <color theme="1"/>
        <rFont val="Calibri"/>
        <family val="2"/>
        <scheme val="minor"/>
      </rPr>
      <t>:</t>
    </r>
    <r>
      <rPr>
        <sz val="9"/>
        <color theme="1"/>
        <rFont val="Calibri"/>
        <family val="2"/>
        <scheme val="minor"/>
      </rPr>
      <t xml:space="preserve"> I en laboratorieøvelse blandes bromvand med hexan. Typisk anvendes ca. 20 mL bromvand, som indeholder omtrent 0,20 g dibrom.
Herpå tilsættes ca. 15 gram hexan - og ved belysning igangsættes en substitutionsreaktion, som er skitseret i nedenstående reaktionsskema.</t>
    </r>
  </si>
  <si>
    <r>
      <rPr>
        <b/>
        <sz val="11"/>
        <color theme="1"/>
        <rFont val="Calibri"/>
        <family val="2"/>
        <scheme val="minor"/>
      </rPr>
      <t xml:space="preserve">Opgave: </t>
    </r>
    <r>
      <rPr>
        <sz val="9"/>
        <color theme="1"/>
        <rFont val="Calibri"/>
        <family val="2"/>
        <scheme val="minor"/>
      </rPr>
      <t>Udfyld mængdeberegningsskemaet og vis hvor mange gram TNT, der kan dannes, når man nitrerer 100 g toluene.</t>
    </r>
  </si>
  <si>
    <t>C₇H₅N₃O₆</t>
  </si>
  <si>
    <t>Opgave 6) Fremstilling af TNT</t>
  </si>
  <si>
    <t>Hydrogenchlorid</t>
  </si>
  <si>
    <t>Calciumcarbonat</t>
  </si>
  <si>
    <r>
      <t>Intro:</t>
    </r>
    <r>
      <rPr>
        <sz val="11"/>
        <color theme="1"/>
        <rFont val="Calibri"/>
        <family val="2"/>
        <scheme val="minor"/>
      </rPr>
      <t xml:space="preserve"> Det tungtopløseligt CaCO₃ (kalk) kan fjernes vha en syre/base reaktion. Det kan gøres hurtigt med en stærk syre som HCl.</t>
    </r>
  </si>
  <si>
    <r>
      <t>Opgave:</t>
    </r>
    <r>
      <rPr>
        <sz val="11"/>
        <color theme="1"/>
        <rFont val="Calibri"/>
        <family val="2"/>
        <scheme val="minor"/>
      </rPr>
      <t xml:space="preserve"> Udfyld mængdeberegningsskeamet og vis hvor meget kalk, som 50,0 g HCl kan fjerne. </t>
    </r>
  </si>
  <si>
    <t>-</t>
  </si>
  <si>
    <t>2b) Simple ikke-metal-ioner:</t>
  </si>
  <si>
    <t>2a) Simple metal-ioner fra gruppe 1, gruppe 2 og aluminium:</t>
  </si>
  <si>
    <t>2c) Simple metalioner fra undergrupperne:</t>
  </si>
  <si>
    <t>3a) Systematisk navne for molekylforbindelser (s. 53)</t>
  </si>
  <si>
    <t>1a) Angiv antallet af partikler, grundstofnavn og elektronstruktur</t>
  </si>
  <si>
    <t>1b) Angiv antallet af oxygenatomer i følgende forbindelser</t>
  </si>
  <si>
    <t>Skriv dine svar i de lyseblå felter</t>
  </si>
  <si>
    <t>Bemærk at en lille rød trekant i hjørnet er et tip til at løse opgaven. Hold musen henover feltet for at læse noten</t>
  </si>
  <si>
    <t>2,8</t>
  </si>
  <si>
    <t>sølv(I)nitrat</t>
  </si>
  <si>
    <t>Zink(II)sulfat</t>
  </si>
  <si>
    <t>2,4</t>
  </si>
  <si>
    <t>2,6</t>
  </si>
  <si>
    <t>EN(C) = 2,5</t>
  </si>
  <si>
    <t>Reaktionsprodukter:</t>
  </si>
  <si>
    <t>Kaliumphosphat</t>
  </si>
  <si>
    <t>Magnesiumhydroxid</t>
  </si>
  <si>
    <t>Jern(III)sulfat</t>
  </si>
  <si>
    <t>Calciumchlorid</t>
  </si>
  <si>
    <t>Natriumphosphat</t>
  </si>
  <si>
    <t>5.1a) Fremstillinger af opløsninger</t>
  </si>
  <si>
    <t>5.1b) Beregninger med aktuelle stofmængdekoncentrationer</t>
  </si>
  <si>
    <t>5.1c) Aktuelle koncentrationer ved sammenblanding af opløsninger</t>
  </si>
  <si>
    <t>7b) Mængdeberegning på koncentreret svovlsyre</t>
  </si>
  <si>
    <t>Hvis forkert:</t>
  </si>
  <si>
    <t>Nej du bruger måske ikke helt de relevante fagorg. Prøv igen</t>
  </si>
  <si>
    <t>Hvorfor ligger dibromvandet sig nederst?</t>
  </si>
  <si>
    <t>Densitet</t>
  </si>
  <si>
    <t>Massefylde</t>
  </si>
  <si>
    <t>tung</t>
  </si>
  <si>
    <t>elektronega</t>
  </si>
  <si>
    <t>polar</t>
  </si>
  <si>
    <t>substituere</t>
  </si>
  <si>
    <t xml:space="preserve"> </t>
  </si>
  <si>
    <t>Opløsninger med sølv(I)nitrat og bariumbromid blandes. Skriv kemiske formler for de ioner, der indgår og dernæst ionforbindelserne</t>
  </si>
  <si>
    <t>10 mL bromvand og 10 mL rensebenzin hældes i et reagensglas:</t>
  </si>
  <si>
    <t>Repeterende spørgsmål til øvelsen "Substitution i benzin"</t>
  </si>
  <si>
    <t xml:space="preserve">Et produkt fra substitutionsreaktionen var HBr, som er en stærk syre. Den danner oxonium nede i vandfasen.
Relevant reaktionsskema: HBr + H₂O ⟶ Br⁻ + H₃O⁺
</t>
  </si>
  <si>
    <t>fæld</t>
  </si>
  <si>
    <t>Reagensglasset med rensebenzin og bromvand omrystes:</t>
  </si>
  <si>
    <t>Reagensglasset udsættes for kraftig belysning:</t>
  </si>
  <si>
    <t>Til vandfasen tilsættes et stykke indikatorpapir:</t>
  </si>
  <si>
    <t>Til vandfasen tilsættes nogle dråber af 0,1 M AgNO₃:</t>
  </si>
  <si>
    <t>Skriv et ultrakort svar på spørgsmålet med rigtige fagord i det lyseblå felt</t>
  </si>
  <si>
    <t>Hvorfor forsvinder den orange farve efter belysning?</t>
  </si>
  <si>
    <t>Hvorfor danner vandfasen bundfald med AgNO₃ efter belysning?</t>
  </si>
  <si>
    <t>Det dannede bromid kan udfældes med sølv(I)ioner og danne det tungtopløselige AgBr.
Relevant reaktionsskema: Ag⁺ + Br⁻ ⟶ AgBr (s)             (uden tilskuerioner)
Alternativt kan skrives:  AgNO₃ + HBr ⟶ AgBr (s) + HNO₃   (med tilskuerioner)</t>
  </si>
  <si>
    <t>Nedenstående opgave er tiltænkt til at repetere den vigtigste teori i det klassiske forsøg "substitution i benzin".</t>
  </si>
  <si>
    <t>10,00 g toastbrød opløses i 100 mL demineraliseret vand. Der tilsættes 2 mL K₂CrO₄ som farveindikator.</t>
  </si>
  <si>
    <t>Herefter tilsættes 0,100 M AgNO₃ fra en burette.</t>
  </si>
  <si>
    <t>Skriv hvor meget du vil tilsætte i det lyseblå felt:</t>
  </si>
  <si>
    <t>Fejlkilder - Forhold dig til din afvigelse - idet du vurderer nedenstående 4 forklaringer på afvigelsen. (sæt et x)</t>
  </si>
  <si>
    <t>Oxidationstal (OT) (s. 178 i BASISKEMI C)</t>
  </si>
  <si>
    <t>Ændring i alt</t>
  </si>
  <si>
    <t>Afstemning af Redoxreaktioner (s. 182-185 i BASISKEMI C)</t>
  </si>
  <si>
    <t>28</t>
  </si>
  <si>
    <t>sølvnitrat</t>
  </si>
  <si>
    <t>hydrogenfluorid</t>
  </si>
  <si>
    <t>svovlhexafluorid</t>
  </si>
  <si>
    <t>Hvorfor får vandfasen en lav pH-værdi efter belysning?</t>
  </si>
  <si>
    <t>Hvorfor bevæger den orange farve sig op efter omrystning?</t>
  </si>
  <si>
    <t>bytte</t>
  </si>
  <si>
    <t>Det orange upolære dibrom vil hellere blandes med det upolære rensebenzin.
Det polære vand ligger tilbage i den nederste fase - evt. med nogle rester af dibrom.</t>
  </si>
  <si>
    <t>Det orange dibrom laver en substitutionsreaktion med rensebenzinen. Hermed forsvinder det orange Br₂ fra den øverste fase.
Relevant reaktionsskema: C₇H₁₆ + Br₂ ⟶ C₇H₁₅Br + HBr</t>
  </si>
  <si>
    <t>Du har muligvis hørt, at pH-skalaen kun går op til 14. Men det er fake news. Afløbsrens har en pH-værdi på op til 15,2.</t>
  </si>
  <si>
    <t>Et uklart slør i en opløsning, der netop har udfældet en tungtopløselig forbindelse</t>
  </si>
  <si>
    <t>Et usystematisk navn, som bruges i dagligdagen ligesom et kælenavn. Fx salmiak</t>
  </si>
  <si>
    <t>Metoden er beskrevet i følgende video: https://www.youtube.com/watch?v=hhxo0FdRPak&amp;ab_channel=RebeccaReeder</t>
  </si>
  <si>
    <t>Størrelse, der angiver hvor meget noget fylder. Angives i kemi med SI-enheden: Liter</t>
  </si>
  <si>
    <t>Størrelse, der angiver massen af et 1 mol af et givet stof. Enheden er g/mol</t>
  </si>
  <si>
    <t>Kolbe som bruges til at fremstille og fortynde opløsninger med stor nøjagtighed</t>
  </si>
  <si>
    <t>Når der ikke kan opløses mere stof i en opløsning, selvom der tilsættes overskud af stoffet</t>
  </si>
  <si>
    <t>Et kemisk stof, der fx via farveskift angiver hvornår der er tilsat ækvivalente mængder</t>
  </si>
  <si>
    <t>Overkategoi af forbindelser, der indeholder C og oftest også H</t>
  </si>
  <si>
    <t>Reaktionstype, hvor fx et H-atom udskiftes med et atom fx fra 7. hovedgruppe</t>
  </si>
  <si>
    <t>En logaritmisk beskrivelse af [H₃O⁺]. Nemlig:  -log[H₃O⁺]</t>
  </si>
  <si>
    <t>Et fint ord for en titrering, hvor det er farveskiftet, der angiver ækvivalenspunktet</t>
  </si>
  <si>
    <t>En delvis eller fuldstændig overførsel af elektroner fra et atom til et andet atom</t>
  </si>
  <si>
    <t>Metaller yderst til højre i spændingsrækken, og derfor er stabile i deres metalform.</t>
  </si>
  <si>
    <t>Det systematisk navn for den violette forbindelse, KMnO₄, som ofte bruges som oxidationsmiddel</t>
  </si>
  <si>
    <t>CaCO₃ + HCl ⟶ CO₂ + H₂O + CaCl₂</t>
  </si>
  <si>
    <r>
      <rPr>
        <b/>
        <sz val="11"/>
        <color theme="1"/>
        <rFont val="Calibri"/>
        <family val="2"/>
        <scheme val="minor"/>
      </rPr>
      <t>Opgave:</t>
    </r>
    <r>
      <rPr>
        <sz val="9"/>
        <color theme="1"/>
        <rFont val="Calibri"/>
        <family val="2"/>
        <scheme val="minor"/>
      </rPr>
      <t xml:space="preserve"> Beregn massen af jern(II)ioner, der skal bruges for at udfælde 1000 gram phosphat</t>
    </r>
  </si>
  <si>
    <r>
      <rPr>
        <b/>
        <sz val="11"/>
        <color theme="1"/>
        <rFont val="Calibri"/>
        <family val="2"/>
        <scheme val="minor"/>
      </rPr>
      <t xml:space="preserve">Opgave: </t>
    </r>
    <r>
      <rPr>
        <sz val="9"/>
        <color theme="1"/>
        <rFont val="Calibri"/>
        <family val="2"/>
        <scheme val="minor"/>
      </rPr>
      <t>Udfyld mængdeberegningsskemaet og undersøg hvor mange gram hexan, der forbruges i øvelsen.</t>
    </r>
  </si>
  <si>
    <t>Rensebenzin har en densitet på ca. 0,7 g/mL - og vil derfor flyde ovenpå vand.
Bromvand består af 99% vand - og har derfor en densitet nær 1,0 g/mL.</t>
  </si>
  <si>
    <t>C₇H₈</t>
  </si>
  <si>
    <r>
      <rPr>
        <b/>
        <sz val="14"/>
        <color theme="1"/>
        <rFont val="Calibri"/>
        <family val="2"/>
        <scheme val="minor"/>
      </rPr>
      <t>Videnskabelig notation</t>
    </r>
    <r>
      <rPr>
        <sz val="14"/>
        <color theme="1"/>
        <rFont val="Calibri"/>
        <family val="2"/>
        <scheme val="minor"/>
      </rPr>
      <t xml:space="preserve"> er en værdi mellem 1-10 og herefter en titalspotens. Fx 8,4∙10³.</t>
    </r>
  </si>
  <si>
    <t>Opløsninger med jern(II)sulfat og ammoniumcarbonat blandes. Skriv kemiske formler for de ioner, der indgår og dernæst formler for ionforbindelserne</t>
  </si>
  <si>
    <t>Selvionisering</t>
  </si>
  <si>
    <t>En kemiker afvejer 50,0 mL af 96% svovlsyre. Vægten siger 92,0 gram. Brug disse oplysninger til at beregne densiteten</t>
  </si>
  <si>
    <t>bariumsulfat</t>
  </si>
  <si>
    <t>-CHOH-</t>
  </si>
  <si>
    <t>Denne fagordsquiz er baseret på BasiskemiC. Bemærk at fagordene ikke nødvendigvis afspejler din undervisning.</t>
  </si>
  <si>
    <t>ADVARSEL - RET SVÆR</t>
  </si>
  <si>
    <t xml:space="preserve">Opgave 1) 30 gram kobber(II)sulfat opløses i en 250 mL målekolbe. Der fyldes op til stregen. </t>
  </si>
  <si>
    <t>Kan udfyldes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</si>
</sst>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164" formatCode="0.0%"/>
    <numFmt numFmtId="165" formatCode="0.000"/>
    <numFmt numFmtId="166" formatCode="&quot;+&quot;#;&quot;-&quot;#;0;"/>
    <numFmt numFmtId="167" formatCode="&quot;+&quot;#;&quot;-&quot;#;&quot;0&quot;;@"/>
    <numFmt numFmtId="168" formatCode="&quot;↑&quot;#;&quot;↓&quot;#;&quot;0&quot;;@"/>
    <numFmt numFmtId="169" formatCode="0.0E+00"/>
    <numFmt numFmtId="170" formatCode="0.000E+00"/>
    <numFmt numFmtId="171" formatCode="0E+00"/>
    <numFmt numFmtId="172" formatCode="0.0000E+00"/>
    <numFmt numFmtId="173" formatCode="0.00000E+00"/>
    <numFmt numFmtId="174" formatCode="#&quot; g&quot;;;;"/>
    <numFmt numFmtId="175" formatCode="0.0&quot; mol&quot;"/>
    <numFmt numFmtId="176" formatCode="0.00&quot; mol&quot;"/>
    <numFmt numFmtId="177" formatCode="0.00000&quot; mol&quot;"/>
    <numFmt numFmtId="178" formatCode="#.00&quot; mol&quot;;;"/>
    <numFmt numFmtId="179" formatCode="0&quot; g&quot;"/>
    <numFmt numFmtId="180" formatCode="0.0&quot; g&quot;"/>
    <numFmt numFmtId="181" formatCode="0.000&quot; g&quot;"/>
    <numFmt numFmtId="182" formatCode="#.00&quot; g/mol&quot;;;"/>
    <numFmt numFmtId="183" formatCode="0\ &quot; g&quot;"/>
    <numFmt numFmtId="184" formatCode="0.000\ &quot; g&quot;"/>
    <numFmt numFmtId="185" formatCode="#.000&quot; mol&quot;;;"/>
    <numFmt numFmtId="186" formatCode="0&quot; mL&quot;"/>
    <numFmt numFmtId="187" formatCode="0.00&quot; g/mL&quot;"/>
    <numFmt numFmtId="188" formatCode="0.00&quot; g/mol&quot;"/>
    <numFmt numFmtId="189" formatCode="0.0&quot; mL&quot;"/>
    <numFmt numFmtId="190" formatCode="0.00\ \L"/>
    <numFmt numFmtId="191" formatCode="0.0&quot; mol/L&quot;"/>
    <numFmt numFmtId="192" formatCode="0.0&quot; M&quot;"/>
    <numFmt numFmtId="193" formatCode="####.0&quot; M&quot;"/>
    <numFmt numFmtId="194" formatCode="0.0\ &quot; mol&quot;"/>
    <numFmt numFmtId="195" formatCode="0.00&quot; L&quot;"/>
    <numFmt numFmtId="196" formatCode="0.0000&quot; mol&quot;"/>
    <numFmt numFmtId="197" formatCode="0.000&quot; L&quot;"/>
    <numFmt numFmtId="198" formatCode="0.000&quot; mol/L&quot;"/>
    <numFmt numFmtId="199" formatCode="0&quot; mol&quot;"/>
    <numFmt numFmtId="200" formatCode="0&quot; mol/L&quot;"/>
    <numFmt numFmtId="201" formatCode="0.0000&quot; mol/L&quot;"/>
    <numFmt numFmtId="202" formatCode="0.00&quot; g&quot;"/>
    <numFmt numFmtId="203" formatCode="0.000&quot; mol&quot;"/>
    <numFmt numFmtId="204" formatCode="0.00000"/>
    <numFmt numFmtId="205" formatCode="0.00&quot; mL&quot;"/>
    <numFmt numFmtId="206" formatCode="0.0000&quot; mmol&quot;"/>
    <numFmt numFmtId="207" formatCode="0.00&quot; mmol&quot;"/>
    <numFmt numFmtId="208" formatCode="0.000&quot; mmol&quot;"/>
    <numFmt numFmtId="209" formatCode="0&quot; mmol&quot;"/>
    <numFmt numFmtId="210" formatCode="0.0000"/>
    <numFmt numFmtId="211" formatCode="0.000%"/>
    <numFmt numFmtId="212" formatCode="0.0\ &quot; g&quot;"/>
    <numFmt numFmtId="213" formatCode="#0.000&quot; mol&quot;;;"/>
  </numFmts>
  <fonts count="57" x14ac:knownFonts="1">
    <font>
      <sz val="11"/>
      <color theme="1"/>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i/>
      <sz val="11"/>
      <color theme="1"/>
      <name val="Calibri"/>
      <family val="2"/>
      <scheme val="minor"/>
    </font>
    <font>
      <i/>
      <sz val="16"/>
      <color theme="1"/>
      <name val="Calibri"/>
      <family val="2"/>
      <scheme val="minor"/>
    </font>
    <font>
      <b/>
      <sz val="16"/>
      <color rgb="FFFF0000"/>
      <name val="Calibri"/>
      <family val="2"/>
      <scheme val="minor"/>
    </font>
    <font>
      <sz val="14"/>
      <color theme="1"/>
      <name val="Calibri"/>
      <family val="2"/>
      <scheme val="minor"/>
    </font>
    <font>
      <sz val="14"/>
      <name val="Calibri"/>
      <family val="2"/>
      <scheme val="minor"/>
    </font>
    <font>
      <sz val="11"/>
      <color theme="2" tint="-0.749992370372631"/>
      <name val="Calibri"/>
      <family val="2"/>
      <scheme val="minor"/>
    </font>
    <font>
      <sz val="14"/>
      <color theme="0"/>
      <name val="Calibri"/>
      <family val="2"/>
      <scheme val="minor"/>
    </font>
    <font>
      <sz val="10"/>
      <color theme="1"/>
      <name val="Calibri"/>
      <family val="2"/>
      <scheme val="minor"/>
    </font>
    <font>
      <sz val="11"/>
      <color rgb="FFFF0000"/>
      <name val="Calibri"/>
      <family val="2"/>
      <scheme val="minor"/>
    </font>
    <font>
      <sz val="9"/>
      <color indexed="81"/>
      <name val="Tahoma"/>
      <family val="2"/>
    </font>
    <font>
      <b/>
      <sz val="9"/>
      <color indexed="81"/>
      <name val="Tahoma"/>
      <family val="2"/>
    </font>
    <font>
      <sz val="12"/>
      <color theme="1"/>
      <name val="Calibri"/>
      <family val="2"/>
      <scheme val="minor"/>
    </font>
    <font>
      <sz val="18"/>
      <color theme="1"/>
      <name val="Calibri"/>
      <family val="2"/>
      <scheme val="minor"/>
    </font>
    <font>
      <sz val="28"/>
      <color theme="1"/>
      <name val="Calibri"/>
      <family val="2"/>
      <scheme val="minor"/>
    </font>
    <font>
      <b/>
      <sz val="14"/>
      <color theme="1"/>
      <name val="Calibri"/>
      <family val="2"/>
      <scheme val="minor"/>
    </font>
    <font>
      <b/>
      <sz val="20"/>
      <color theme="1"/>
      <name val="Calibri"/>
      <family val="2"/>
      <scheme val="minor"/>
    </font>
    <font>
      <b/>
      <sz val="14"/>
      <name val="Calibri"/>
      <family val="2"/>
      <scheme val="minor"/>
    </font>
    <font>
      <sz val="11"/>
      <name val="Calibri"/>
      <family val="2"/>
      <scheme val="minor"/>
    </font>
    <font>
      <b/>
      <sz val="28"/>
      <color theme="1"/>
      <name val="Calibri"/>
      <family val="2"/>
      <scheme val="minor"/>
    </font>
    <font>
      <b/>
      <sz val="18"/>
      <color theme="1"/>
      <name val="Calibri"/>
      <family val="2"/>
      <scheme val="minor"/>
    </font>
    <font>
      <b/>
      <sz val="16"/>
      <color theme="1"/>
      <name val="Calibri"/>
      <family val="2"/>
      <scheme val="minor"/>
    </font>
    <font>
      <b/>
      <sz val="24"/>
      <color theme="1"/>
      <name val="Calibri"/>
      <family val="2"/>
      <scheme val="minor"/>
    </font>
    <font>
      <sz val="12"/>
      <name val="Times New Roman"/>
      <family val="1"/>
    </font>
    <font>
      <sz val="24"/>
      <color theme="1"/>
      <name val="Calibri"/>
      <family val="2"/>
      <scheme val="minor"/>
    </font>
    <font>
      <sz val="12"/>
      <color theme="1"/>
      <name val="Times New Roman"/>
      <family val="1"/>
    </font>
    <font>
      <sz val="8"/>
      <name val="Calibri"/>
      <family val="2"/>
      <scheme val="minor"/>
    </font>
    <font>
      <b/>
      <sz val="8"/>
      <color theme="1"/>
      <name val="Calibri"/>
      <family val="2"/>
      <scheme val="minor"/>
    </font>
    <font>
      <sz val="22"/>
      <color theme="1"/>
      <name val="Calibri"/>
      <family val="2"/>
      <scheme val="minor"/>
    </font>
    <font>
      <b/>
      <u/>
      <sz val="14"/>
      <color theme="1"/>
      <name val="Calibri"/>
      <family val="2"/>
      <scheme val="minor"/>
    </font>
    <font>
      <sz val="10"/>
      <color theme="1"/>
      <name val="Arial"/>
      <family val="2"/>
    </font>
    <font>
      <sz val="10"/>
      <color rgb="FF000000"/>
      <name val="Arial"/>
      <family val="2"/>
    </font>
    <font>
      <sz val="11"/>
      <color rgb="FF000000"/>
      <name val="Arial"/>
      <family val="2"/>
    </font>
    <font>
      <sz val="26"/>
      <color theme="1"/>
      <name val="Calibri"/>
      <family val="2"/>
      <scheme val="minor"/>
    </font>
    <font>
      <b/>
      <sz val="22"/>
      <color theme="1"/>
      <name val="Calibri"/>
      <family val="2"/>
      <scheme val="minor"/>
    </font>
    <font>
      <b/>
      <sz val="26"/>
      <color theme="1"/>
      <name val="Calibri"/>
      <family val="2"/>
      <scheme val="minor"/>
    </font>
    <font>
      <b/>
      <sz val="11"/>
      <name val="Calibri"/>
      <family val="2"/>
      <scheme val="minor"/>
    </font>
    <font>
      <b/>
      <sz val="16"/>
      <name val="Calibri"/>
      <family val="2"/>
      <scheme val="minor"/>
    </font>
    <font>
      <sz val="8"/>
      <color theme="1"/>
      <name val="Calibri"/>
      <family val="2"/>
      <scheme val="minor"/>
    </font>
    <font>
      <sz val="14"/>
      <color rgb="FF00B050"/>
      <name val="Calibri"/>
      <family val="2"/>
      <scheme val="minor"/>
    </font>
    <font>
      <sz val="9"/>
      <color theme="1"/>
      <name val="Calibri"/>
      <family val="2"/>
      <scheme val="minor"/>
    </font>
    <font>
      <b/>
      <sz val="9"/>
      <color theme="1"/>
      <name val="Calibri"/>
      <family val="2"/>
      <scheme val="minor"/>
    </font>
    <font>
      <sz val="36"/>
      <color theme="1"/>
      <name val="Calibri"/>
      <family val="2"/>
      <scheme val="minor"/>
    </font>
    <font>
      <sz val="48"/>
      <color theme="1"/>
      <name val="Calibri"/>
      <family val="2"/>
      <scheme val="minor"/>
    </font>
    <font>
      <sz val="10"/>
      <name val="Arial"/>
      <family val="2"/>
    </font>
    <font>
      <sz val="1"/>
      <color theme="0" tint="-0.249977111117893"/>
      <name val="Arial"/>
      <family val="2"/>
    </font>
    <font>
      <sz val="20"/>
      <color theme="1"/>
      <name val="Calibri"/>
      <family val="2"/>
      <scheme val="minor"/>
    </font>
    <font>
      <b/>
      <sz val="9"/>
      <color rgb="FFCC9900"/>
      <name val="Calibri"/>
      <family val="2"/>
      <scheme val="minor"/>
    </font>
    <font>
      <b/>
      <sz val="9"/>
      <color rgb="FFC00000"/>
      <name val="Calibri"/>
      <family val="2"/>
      <scheme val="minor"/>
    </font>
    <font>
      <sz val="11"/>
      <color rgb="FFFFFFFF"/>
      <name val="Calibri"/>
      <family val="2"/>
      <scheme val="minor"/>
    </font>
    <font>
      <sz val="28"/>
      <color rgb="FFFFFFFF"/>
      <name val="Calibri"/>
      <family val="2"/>
      <scheme val="minor"/>
    </font>
    <font>
      <b/>
      <sz val="11"/>
      <color rgb="FFFFFFFF"/>
      <name val="Calibri"/>
      <family val="2"/>
      <scheme val="minor"/>
    </font>
    <font>
      <sz val="24"/>
      <color rgb="FFFFFFFF"/>
      <name val="Calibri"/>
      <family val="2"/>
      <scheme val="minor"/>
    </font>
    <font>
      <b/>
      <sz val="16"/>
      <color rgb="FFFFFFFF"/>
      <name val="Calibri"/>
      <family val="2"/>
      <scheme val="minor"/>
    </font>
  </fonts>
  <fills count="20">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5" tint="0.79998168889431442"/>
        <bgColor indexed="64"/>
      </patternFill>
    </fill>
    <fill>
      <patternFill patternType="solid">
        <fgColor indexed="47"/>
        <bgColor indexed="64"/>
      </patternFill>
    </fill>
    <fill>
      <patternFill patternType="solid">
        <fgColor indexed="44"/>
        <bgColor indexed="64"/>
      </patternFill>
    </fill>
    <fill>
      <patternFill patternType="solid">
        <fgColor indexed="41"/>
        <bgColor indexed="64"/>
      </patternFill>
    </fill>
    <fill>
      <gradientFill degree="180">
        <stop position="0">
          <color theme="0"/>
        </stop>
        <stop position="1">
          <color theme="0" tint="-0.1490218817712943"/>
        </stop>
      </gradientFill>
    </fill>
    <fill>
      <gradientFill>
        <stop position="0">
          <color theme="0"/>
        </stop>
        <stop position="1">
          <color theme="0" tint="-0.1490218817712943"/>
        </stop>
      </gradientFill>
    </fill>
    <fill>
      <patternFill patternType="solid">
        <fgColor rgb="FFFFC000"/>
        <bgColor indexed="64"/>
      </patternFill>
    </fill>
    <fill>
      <patternFill patternType="solid">
        <fgColor rgb="FFE3FE44"/>
        <bgColor indexed="64"/>
      </patternFill>
    </fill>
    <fill>
      <patternFill patternType="solid">
        <fgColor rgb="FFC00000"/>
        <bgColor indexed="64"/>
      </patternFill>
    </fill>
    <fill>
      <patternFill patternType="solid">
        <fgColor theme="0" tint="-0.14996795556505021"/>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top/>
      <bottom style="thick">
        <color indexed="64"/>
      </bottom>
      <diagonal/>
    </border>
    <border>
      <left style="thin">
        <color indexed="64"/>
      </left>
      <right/>
      <top/>
      <bottom style="thick">
        <color indexed="64"/>
      </bottom>
      <diagonal/>
    </border>
    <border>
      <left style="thin">
        <color indexed="64"/>
      </left>
      <right style="thick">
        <color indexed="64"/>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ck">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bottom style="thick">
        <color indexed="64"/>
      </bottom>
      <diagonal/>
    </border>
    <border>
      <left style="thin">
        <color indexed="64"/>
      </left>
      <right style="thin">
        <color indexed="64"/>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top/>
      <bottom style="thick">
        <color indexed="64"/>
      </bottom>
      <diagonal/>
    </border>
    <border>
      <left/>
      <right/>
      <top style="thick">
        <color indexed="64"/>
      </top>
      <bottom/>
      <diagonal/>
    </border>
    <border>
      <left style="thin">
        <color indexed="64"/>
      </left>
      <right style="thick">
        <color indexed="64"/>
      </right>
      <top style="thin">
        <color indexed="64"/>
      </top>
      <bottom/>
      <diagonal/>
    </border>
    <border>
      <left style="thick">
        <color indexed="64"/>
      </left>
      <right/>
      <top/>
      <bottom/>
      <diagonal/>
    </border>
    <border>
      <left/>
      <right style="thick">
        <color auto="1"/>
      </right>
      <top/>
      <bottom/>
      <diagonal/>
    </border>
    <border>
      <left/>
      <right style="thick">
        <color rgb="FF25418F"/>
      </right>
      <top style="thin">
        <color indexed="64"/>
      </top>
      <bottom style="thin">
        <color indexed="64"/>
      </bottom>
      <diagonal/>
    </border>
    <border>
      <left style="hair">
        <color rgb="FF25418F"/>
      </left>
      <right style="thick">
        <color rgb="FF25418F"/>
      </right>
      <top style="thin">
        <color indexed="64"/>
      </top>
      <bottom style="thin">
        <color rgb="FF25418F"/>
      </bottom>
      <diagonal/>
    </border>
    <border>
      <left style="hair">
        <color rgb="FF25418F"/>
      </left>
      <right style="thick">
        <color rgb="FF25418F"/>
      </right>
      <top style="thin">
        <color rgb="FF25418F"/>
      </top>
      <bottom style="thin">
        <color rgb="FF25418F"/>
      </bottom>
      <diagonal/>
    </border>
    <border>
      <left style="hair">
        <color rgb="FF25418F"/>
      </left>
      <right style="thick">
        <color rgb="FF25418F"/>
      </right>
      <top style="thin">
        <color rgb="FF25418F"/>
      </top>
      <bottom/>
      <diagonal/>
    </border>
    <border>
      <left/>
      <right style="thick">
        <color auto="1"/>
      </right>
      <top/>
      <bottom style="thick">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hair">
        <color rgb="FF25418F"/>
      </right>
      <top style="thin">
        <color auto="1"/>
      </top>
      <bottom style="thin">
        <color indexed="64"/>
      </bottom>
      <diagonal/>
    </border>
    <border>
      <left/>
      <right/>
      <top style="thin">
        <color rgb="FF25418F"/>
      </top>
      <bottom/>
      <diagonal/>
    </border>
    <border>
      <left/>
      <right/>
      <top style="thin">
        <color rgb="FF25418F"/>
      </top>
      <bottom style="thin">
        <color rgb="FF25418F"/>
      </bottom>
      <diagonal/>
    </border>
    <border>
      <left/>
      <right/>
      <top style="thin">
        <color indexed="64"/>
      </top>
      <bottom style="thin">
        <color rgb="FF25418F"/>
      </bottom>
      <diagonal/>
    </border>
  </borders>
  <cellStyleXfs count="1">
    <xf numFmtId="0" fontId="0" fillId="0" borderId="0"/>
  </cellStyleXfs>
  <cellXfs count="523">
    <xf numFmtId="0" fontId="0" fillId="0" borderId="0" xfId="0"/>
    <xf numFmtId="0" fontId="1" fillId="0" borderId="0" xfId="0" applyFont="1"/>
    <xf numFmtId="0" fontId="6" fillId="0" borderId="0" xfId="0" applyFont="1"/>
    <xf numFmtId="0" fontId="2" fillId="0" borderId="0" xfId="0" applyFont="1"/>
    <xf numFmtId="0" fontId="12" fillId="0" borderId="0" xfId="0" applyFont="1"/>
    <xf numFmtId="0" fontId="9" fillId="0" borderId="0" xfId="0" applyFont="1"/>
    <xf numFmtId="0" fontId="10" fillId="0" borderId="1" xfId="0" applyFont="1" applyBorder="1"/>
    <xf numFmtId="0" fontId="10" fillId="0" borderId="1" xfId="0" applyFont="1" applyBorder="1" applyAlignment="1">
      <alignment horizontal="center" vertical="center"/>
    </xf>
    <xf numFmtId="0" fontId="8" fillId="5" borderId="1" xfId="0" applyFont="1" applyFill="1" applyBorder="1" applyAlignment="1" applyProtection="1">
      <alignment horizontal="center" vertical="center"/>
      <protection locked="0"/>
    </xf>
    <xf numFmtId="0" fontId="20" fillId="5" borderId="1" xfId="0" applyFont="1" applyFill="1" applyBorder="1" applyAlignment="1" applyProtection="1">
      <alignment horizontal="center" vertical="center"/>
      <protection locked="0"/>
    </xf>
    <xf numFmtId="0" fontId="17" fillId="0" borderId="0" xfId="0" applyFont="1"/>
    <xf numFmtId="0" fontId="21" fillId="0" borderId="0" xfId="0" applyFont="1"/>
    <xf numFmtId="0" fontId="0" fillId="5" borderId="1" xfId="0" applyFill="1" applyBorder="1" applyAlignment="1" applyProtection="1">
      <alignment horizontal="center"/>
      <protection locked="0"/>
    </xf>
    <xf numFmtId="0" fontId="21" fillId="5" borderId="1" xfId="0" applyFont="1" applyFill="1" applyBorder="1" applyAlignment="1" applyProtection="1">
      <alignment horizontal="center"/>
      <protection locked="0"/>
    </xf>
    <xf numFmtId="0" fontId="0" fillId="4" borderId="15" xfId="0" applyFill="1" applyBorder="1" applyAlignment="1">
      <alignment horizontal="left"/>
    </xf>
    <xf numFmtId="0" fontId="0" fillId="4" borderId="11" xfId="0" applyFill="1" applyBorder="1" applyAlignment="1">
      <alignment horizontal="left"/>
    </xf>
    <xf numFmtId="0" fontId="0" fillId="5" borderId="6" xfId="0" applyFill="1" applyBorder="1" applyAlignment="1" applyProtection="1">
      <alignment horizontal="center"/>
      <protection locked="0"/>
    </xf>
    <xf numFmtId="0" fontId="0" fillId="0" borderId="20" xfId="0" applyBorder="1"/>
    <xf numFmtId="0" fontId="0" fillId="0" borderId="12" xfId="0" applyBorder="1"/>
    <xf numFmtId="0" fontId="0" fillId="0" borderId="13" xfId="0" applyBorder="1"/>
    <xf numFmtId="0" fontId="0" fillId="0" borderId="14" xfId="0" applyBorder="1"/>
    <xf numFmtId="0" fontId="0" fillId="0" borderId="10" xfId="0" applyBorder="1"/>
    <xf numFmtId="0" fontId="17" fillId="0" borderId="20" xfId="0" applyFont="1" applyBorder="1"/>
    <xf numFmtId="0" fontId="21" fillId="0" borderId="12" xfId="0" applyFont="1" applyBorder="1"/>
    <xf numFmtId="0" fontId="21" fillId="0" borderId="10" xfId="0" applyFont="1" applyBorder="1"/>
    <xf numFmtId="0" fontId="26" fillId="0" borderId="0" xfId="0" applyFont="1"/>
    <xf numFmtId="0" fontId="0" fillId="2" borderId="16" xfId="0" applyFill="1" applyBorder="1"/>
    <xf numFmtId="0" fontId="0" fillId="0" borderId="0" xfId="0" quotePrefix="1"/>
    <xf numFmtId="0" fontId="0" fillId="0" borderId="0" xfId="0" applyAlignment="1">
      <alignment horizontal="center"/>
    </xf>
    <xf numFmtId="49" fontId="0" fillId="5" borderId="1" xfId="0" applyNumberFormat="1" applyFill="1" applyBorder="1" applyAlignment="1" applyProtection="1">
      <alignment horizontal="center"/>
      <protection locked="0"/>
    </xf>
    <xf numFmtId="49" fontId="0" fillId="5" borderId="6" xfId="0" applyNumberFormat="1" applyFill="1" applyBorder="1" applyAlignment="1" applyProtection="1">
      <alignment horizontal="center"/>
      <protection locked="0"/>
    </xf>
    <xf numFmtId="166" fontId="0" fillId="5" borderId="1" xfId="0" applyNumberFormat="1" applyFill="1" applyBorder="1" applyAlignment="1" applyProtection="1">
      <alignment horizontal="center"/>
      <protection locked="0"/>
    </xf>
    <xf numFmtId="168" fontId="0" fillId="5" borderId="1" xfId="0" applyNumberFormat="1" applyFill="1" applyBorder="1" applyAlignment="1" applyProtection="1">
      <alignment horizontal="center"/>
      <protection locked="0"/>
    </xf>
    <xf numFmtId="0" fontId="32" fillId="0" borderId="20" xfId="0" applyFont="1" applyBorder="1"/>
    <xf numFmtId="0" fontId="31" fillId="0" borderId="20" xfId="0" applyFont="1" applyBorder="1"/>
    <xf numFmtId="0" fontId="16" fillId="0" borderId="24" xfId="0" applyFont="1" applyBorder="1"/>
    <xf numFmtId="0" fontId="0" fillId="0" borderId="3" xfId="0" applyBorder="1" applyAlignment="1">
      <alignment horizontal="center"/>
    </xf>
    <xf numFmtId="0" fontId="0" fillId="0" borderId="25" xfId="0" applyBorder="1" applyAlignment="1">
      <alignment horizontal="center"/>
    </xf>
    <xf numFmtId="167" fontId="0" fillId="5" borderId="1" xfId="0" applyNumberFormat="1" applyFill="1" applyBorder="1" applyAlignment="1" applyProtection="1">
      <alignment horizontal="center"/>
      <protection locked="0"/>
    </xf>
    <xf numFmtId="0" fontId="7" fillId="0" borderId="14" xfId="0" applyFont="1" applyBorder="1" applyAlignment="1">
      <alignment horizontal="center"/>
    </xf>
    <xf numFmtId="0" fontId="31" fillId="0" borderId="4" xfId="0" applyFont="1" applyBorder="1"/>
    <xf numFmtId="0" fontId="7" fillId="0" borderId="15" xfId="0" applyFont="1" applyBorder="1" applyAlignment="1">
      <alignment horizontal="center"/>
    </xf>
    <xf numFmtId="49" fontId="0" fillId="5" borderId="16" xfId="0" applyNumberFormat="1" applyFill="1" applyBorder="1" applyAlignment="1" applyProtection="1">
      <alignment horizontal="center"/>
      <protection locked="0"/>
    </xf>
    <xf numFmtId="49" fontId="0" fillId="5" borderId="11" xfId="0" applyNumberFormat="1" applyFill="1" applyBorder="1" applyAlignment="1" applyProtection="1">
      <alignment horizontal="center"/>
      <protection locked="0"/>
    </xf>
    <xf numFmtId="0" fontId="0" fillId="0" borderId="13" xfId="0"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26" xfId="0" applyBorder="1" applyAlignment="1">
      <alignment horizontal="center"/>
    </xf>
    <xf numFmtId="0" fontId="0" fillId="3" borderId="15" xfId="0" applyFill="1" applyBorder="1" applyAlignment="1">
      <alignment horizontal="center"/>
    </xf>
    <xf numFmtId="0" fontId="0" fillId="0" borderId="15" xfId="0" applyBorder="1" applyAlignment="1">
      <alignment horizontal="center"/>
    </xf>
    <xf numFmtId="11" fontId="0" fillId="5" borderId="1" xfId="0" applyNumberFormat="1" applyFill="1" applyBorder="1" applyAlignment="1" applyProtection="1">
      <alignment horizontal="center"/>
      <protection locked="0"/>
    </xf>
    <xf numFmtId="2" fontId="0" fillId="5" borderId="1" xfId="0" applyNumberFormat="1" applyFill="1" applyBorder="1" applyAlignment="1" applyProtection="1">
      <alignment horizontal="center"/>
      <protection locked="0"/>
    </xf>
    <xf numFmtId="165" fontId="0" fillId="5" borderId="1" xfId="0" applyNumberFormat="1" applyFill="1" applyBorder="1" applyAlignment="1" applyProtection="1">
      <alignment horizontal="center"/>
      <protection locked="0"/>
    </xf>
    <xf numFmtId="164" fontId="0" fillId="5" borderId="1" xfId="0" applyNumberFormat="1" applyFill="1" applyBorder="1" applyAlignment="1" applyProtection="1">
      <alignment horizontal="center"/>
      <protection locked="0"/>
    </xf>
    <xf numFmtId="0" fontId="34" fillId="6" borderId="21" xfId="0" applyFont="1" applyFill="1" applyBorder="1" applyAlignment="1">
      <alignment vertical="center" wrapText="1"/>
    </xf>
    <xf numFmtId="0" fontId="34" fillId="6" borderId="28" xfId="0" applyFont="1" applyFill="1" applyBorder="1" applyAlignment="1">
      <alignment vertical="center" wrapText="1"/>
    </xf>
    <xf numFmtId="0" fontId="0" fillId="0" borderId="21" xfId="0" applyBorder="1"/>
    <xf numFmtId="0" fontId="33" fillId="6" borderId="21" xfId="0" applyFont="1" applyFill="1" applyBorder="1" applyAlignment="1">
      <alignment vertical="center" wrapText="1"/>
    </xf>
    <xf numFmtId="0" fontId="0" fillId="5" borderId="32" xfId="0" applyFill="1" applyBorder="1" applyAlignment="1" applyProtection="1">
      <alignment horizontal="center"/>
      <protection locked="0"/>
    </xf>
    <xf numFmtId="11" fontId="0" fillId="5" borderId="31" xfId="0" applyNumberFormat="1" applyFill="1" applyBorder="1" applyAlignment="1" applyProtection="1">
      <alignment horizontal="center"/>
      <protection locked="0"/>
    </xf>
    <xf numFmtId="11" fontId="35" fillId="6" borderId="28" xfId="0" applyNumberFormat="1" applyFont="1" applyFill="1" applyBorder="1" applyAlignment="1">
      <alignment horizontal="center" vertical="center" wrapText="1"/>
    </xf>
    <xf numFmtId="11" fontId="35" fillId="6" borderId="29" xfId="0" applyNumberFormat="1" applyFont="1" applyFill="1" applyBorder="1" applyAlignment="1">
      <alignment horizontal="center" vertical="center" wrapText="1"/>
    </xf>
    <xf numFmtId="2" fontId="0" fillId="5" borderId="6" xfId="0" applyNumberFormat="1" applyFill="1" applyBorder="1" applyAlignment="1" applyProtection="1">
      <alignment horizontal="center"/>
      <protection locked="0"/>
    </xf>
    <xf numFmtId="11" fontId="0" fillId="5" borderId="30" xfId="0" applyNumberFormat="1" applyFill="1" applyBorder="1" applyAlignment="1" applyProtection="1">
      <alignment horizontal="center"/>
      <protection locked="0"/>
    </xf>
    <xf numFmtId="2" fontId="0" fillId="5" borderId="16" xfId="0" applyNumberFormat="1" applyFill="1" applyBorder="1" applyAlignment="1" applyProtection="1">
      <alignment horizontal="center"/>
      <protection locked="0"/>
    </xf>
    <xf numFmtId="2" fontId="0" fillId="5" borderId="31" xfId="0" applyNumberFormat="1" applyFill="1" applyBorder="1" applyAlignment="1" applyProtection="1">
      <alignment horizontal="center"/>
      <protection locked="0"/>
    </xf>
    <xf numFmtId="2" fontId="35" fillId="6" borderId="28" xfId="0" applyNumberFormat="1" applyFont="1" applyFill="1" applyBorder="1" applyAlignment="1">
      <alignment horizontal="center" vertical="center" wrapText="1"/>
    </xf>
    <xf numFmtId="2" fontId="0" fillId="5" borderId="7" xfId="0" applyNumberFormat="1" applyFill="1" applyBorder="1" applyAlignment="1" applyProtection="1">
      <alignment horizontal="center"/>
      <protection locked="0"/>
    </xf>
    <xf numFmtId="165" fontId="0" fillId="5" borderId="30" xfId="0" applyNumberFormat="1" applyFill="1" applyBorder="1" applyAlignment="1" applyProtection="1">
      <alignment horizontal="center"/>
      <protection locked="0"/>
    </xf>
    <xf numFmtId="11" fontId="28" fillId="5" borderId="22" xfId="0" applyNumberFormat="1" applyFont="1" applyFill="1" applyBorder="1" applyAlignment="1" applyProtection="1">
      <alignment horizontal="center" vertical="center" wrapText="1"/>
      <protection locked="0"/>
    </xf>
    <xf numFmtId="170" fontId="28" fillId="5" borderId="22" xfId="0" applyNumberFormat="1" applyFont="1" applyFill="1" applyBorder="1" applyAlignment="1" applyProtection="1">
      <alignment horizontal="center" vertical="center" wrapText="1"/>
      <protection locked="0"/>
    </xf>
    <xf numFmtId="171" fontId="28" fillId="5" borderId="22" xfId="0" applyNumberFormat="1" applyFont="1" applyFill="1" applyBorder="1" applyAlignment="1" applyProtection="1">
      <alignment horizontal="center" vertical="center" wrapText="1"/>
      <protection locked="0"/>
    </xf>
    <xf numFmtId="172" fontId="28" fillId="5" borderId="22" xfId="0" applyNumberFormat="1" applyFont="1" applyFill="1" applyBorder="1" applyAlignment="1" applyProtection="1">
      <alignment horizontal="center" vertical="center" wrapText="1"/>
      <protection locked="0"/>
    </xf>
    <xf numFmtId="0" fontId="28" fillId="5" borderId="22" xfId="0" applyFont="1" applyFill="1" applyBorder="1" applyAlignment="1" applyProtection="1">
      <alignment horizontal="center" vertical="center" wrapText="1"/>
      <protection locked="0"/>
    </xf>
    <xf numFmtId="0" fontId="28" fillId="5" borderId="22" xfId="0" applyFont="1" applyFill="1" applyBorder="1" applyAlignment="1" applyProtection="1">
      <alignment vertical="center" wrapText="1"/>
      <protection locked="0"/>
    </xf>
    <xf numFmtId="169" fontId="28" fillId="5" borderId="22" xfId="0" applyNumberFormat="1" applyFont="1" applyFill="1" applyBorder="1" applyAlignment="1" applyProtection="1">
      <alignment horizontal="center" vertical="center" wrapText="1"/>
      <protection locked="0"/>
    </xf>
    <xf numFmtId="173" fontId="28" fillId="5" borderId="22" xfId="0" applyNumberFormat="1" applyFont="1" applyFill="1" applyBorder="1" applyAlignment="1" applyProtection="1">
      <alignment horizontal="center" vertical="center" wrapText="1"/>
      <protection locked="0"/>
    </xf>
    <xf numFmtId="0" fontId="36" fillId="5" borderId="1" xfId="0" applyFont="1" applyFill="1" applyBorder="1" applyAlignment="1" applyProtection="1">
      <alignment horizontal="center" vertical="center"/>
      <protection locked="0"/>
    </xf>
    <xf numFmtId="0" fontId="0" fillId="7" borderId="20" xfId="0" applyFill="1" applyBorder="1"/>
    <xf numFmtId="0" fontId="0" fillId="7" borderId="0" xfId="0" applyFill="1"/>
    <xf numFmtId="0" fontId="0" fillId="7" borderId="12" xfId="0" applyFill="1" applyBorder="1"/>
    <xf numFmtId="0" fontId="0" fillId="2" borderId="20" xfId="0" applyFill="1" applyBorder="1"/>
    <xf numFmtId="0" fontId="0" fillId="3" borderId="0" xfId="0" applyFill="1"/>
    <xf numFmtId="0" fontId="0" fillId="7" borderId="4" xfId="0" applyFill="1" applyBorder="1"/>
    <xf numFmtId="0" fontId="0" fillId="7" borderId="3" xfId="0" applyFill="1" applyBorder="1"/>
    <xf numFmtId="0" fontId="0" fillId="7" borderId="5" xfId="0" applyFill="1" applyBorder="1"/>
    <xf numFmtId="0" fontId="0" fillId="7" borderId="10" xfId="0" applyFill="1" applyBorder="1"/>
    <xf numFmtId="0" fontId="0" fillId="7" borderId="14" xfId="0" applyFill="1" applyBorder="1"/>
    <xf numFmtId="0" fontId="0" fillId="7" borderId="13" xfId="0" applyFill="1" applyBorder="1"/>
    <xf numFmtId="0" fontId="31" fillId="7" borderId="4" xfId="0" applyFont="1" applyFill="1" applyBorder="1"/>
    <xf numFmtId="0" fontId="0" fillId="7" borderId="3" xfId="0" applyFill="1" applyBorder="1" applyAlignment="1">
      <alignment horizontal="center"/>
    </xf>
    <xf numFmtId="0" fontId="3" fillId="7" borderId="20" xfId="0" applyFont="1" applyFill="1" applyBorder="1"/>
    <xf numFmtId="0" fontId="0" fillId="7" borderId="0" xfId="0" applyFill="1" applyAlignment="1">
      <alignment horizontal="center"/>
    </xf>
    <xf numFmtId="0" fontId="31" fillId="7" borderId="20" xfId="0" applyFont="1" applyFill="1" applyBorder="1"/>
    <xf numFmtId="0" fontId="0" fillId="7" borderId="11" xfId="0" applyFill="1" applyBorder="1"/>
    <xf numFmtId="0" fontId="7" fillId="7" borderId="14" xfId="0" applyFont="1" applyFill="1" applyBorder="1"/>
    <xf numFmtId="0" fontId="0" fillId="7" borderId="14" xfId="0" applyFill="1" applyBorder="1" applyAlignment="1">
      <alignment horizontal="center"/>
    </xf>
    <xf numFmtId="0" fontId="0" fillId="7" borderId="33" xfId="0" applyFill="1" applyBorder="1"/>
    <xf numFmtId="0" fontId="36" fillId="5" borderId="6" xfId="0" applyFont="1" applyFill="1" applyBorder="1" applyAlignment="1" applyProtection="1">
      <alignment horizontal="center" vertical="center"/>
      <protection locked="0"/>
    </xf>
    <xf numFmtId="174" fontId="0" fillId="5" borderId="1" xfId="0" applyNumberFormat="1" applyFill="1" applyBorder="1" applyAlignment="1" applyProtection="1">
      <alignment horizontal="center"/>
      <protection locked="0"/>
    </xf>
    <xf numFmtId="0" fontId="0" fillId="4" borderId="8" xfId="0" applyFill="1" applyBorder="1"/>
    <xf numFmtId="0" fontId="4" fillId="7" borderId="20" xfId="0" applyFont="1" applyFill="1" applyBorder="1"/>
    <xf numFmtId="0" fontId="5" fillId="7" borderId="0" xfId="0" applyFont="1" applyFill="1"/>
    <xf numFmtId="0" fontId="5" fillId="7" borderId="0" xfId="0" applyFont="1" applyFill="1" applyAlignment="1">
      <alignment horizontal="center"/>
    </xf>
    <xf numFmtId="0" fontId="3" fillId="7" borderId="0" xfId="0" applyFont="1" applyFill="1"/>
    <xf numFmtId="0" fontId="6" fillId="7" borderId="12" xfId="0" applyFont="1" applyFill="1" applyBorder="1"/>
    <xf numFmtId="0" fontId="2" fillId="0" borderId="20" xfId="0" applyFont="1" applyBorder="1"/>
    <xf numFmtId="0" fontId="2" fillId="0" borderId="12" xfId="0" applyFont="1" applyBorder="1"/>
    <xf numFmtId="0" fontId="0" fillId="4" borderId="9" xfId="0" applyFill="1" applyBorder="1"/>
    <xf numFmtId="0" fontId="1" fillId="7" borderId="0" xfId="0" applyFont="1" applyFill="1"/>
    <xf numFmtId="0" fontId="0" fillId="2" borderId="0" xfId="0" applyFill="1"/>
    <xf numFmtId="0" fontId="11" fillId="2" borderId="0" xfId="0" applyFont="1" applyFill="1"/>
    <xf numFmtId="0" fontId="11" fillId="3" borderId="0" xfId="0" applyFont="1" applyFill="1"/>
    <xf numFmtId="0" fontId="8" fillId="7" borderId="16" xfId="0" applyFont="1" applyFill="1" applyBorder="1" applyAlignment="1">
      <alignment horizontal="center"/>
    </xf>
    <xf numFmtId="2" fontId="0" fillId="5" borderId="23" xfId="0" applyNumberFormat="1" applyFill="1" applyBorder="1" applyAlignment="1" applyProtection="1">
      <alignment horizontal="center"/>
      <protection locked="0"/>
    </xf>
    <xf numFmtId="0" fontId="35" fillId="6" borderId="35" xfId="0" applyFont="1" applyFill="1" applyBorder="1" applyAlignment="1">
      <alignment horizontal="center" vertical="center" wrapText="1"/>
    </xf>
    <xf numFmtId="0" fontId="23" fillId="7" borderId="20" xfId="0" applyFont="1" applyFill="1" applyBorder="1" applyAlignment="1">
      <alignment horizontal="left"/>
    </xf>
    <xf numFmtId="0" fontId="24" fillId="7" borderId="0" xfId="0" applyFont="1" applyFill="1" applyAlignment="1">
      <alignment horizontal="left"/>
    </xf>
    <xf numFmtId="0" fontId="19" fillId="7" borderId="0" xfId="0" applyFont="1" applyFill="1" applyAlignment="1">
      <alignment horizontal="center"/>
    </xf>
    <xf numFmtId="0" fontId="19" fillId="7" borderId="12" xfId="0" applyFont="1" applyFill="1" applyBorder="1" applyAlignment="1">
      <alignment horizontal="center"/>
    </xf>
    <xf numFmtId="0" fontId="32" fillId="7" borderId="20" xfId="0" applyFont="1" applyFill="1" applyBorder="1"/>
    <xf numFmtId="0" fontId="0" fillId="7" borderId="13" xfId="0" applyFill="1" applyBorder="1" applyAlignment="1">
      <alignment horizontal="center"/>
    </xf>
    <xf numFmtId="0" fontId="0" fillId="7" borderId="10" xfId="0" applyFill="1" applyBorder="1" applyAlignment="1">
      <alignment horizontal="center"/>
    </xf>
    <xf numFmtId="0" fontId="16" fillId="7" borderId="24" xfId="0" applyFont="1" applyFill="1" applyBorder="1"/>
    <xf numFmtId="0" fontId="0" fillId="7" borderId="25" xfId="0" applyFill="1" applyBorder="1" applyAlignment="1">
      <alignment horizontal="center"/>
    </xf>
    <xf numFmtId="0" fontId="22" fillId="8" borderId="7" xfId="0" applyFont="1" applyFill="1" applyBorder="1"/>
    <xf numFmtId="0" fontId="0" fillId="8" borderId="8" xfId="0" applyFill="1" applyBorder="1" applyAlignment="1">
      <alignment horizontal="center"/>
    </xf>
    <xf numFmtId="0" fontId="0" fillId="8" borderId="8" xfId="0" applyFill="1" applyBorder="1"/>
    <xf numFmtId="0" fontId="0" fillId="8" borderId="9" xfId="0" applyFill="1" applyBorder="1"/>
    <xf numFmtId="0" fontId="0" fillId="7" borderId="0" xfId="0" applyFill="1" applyAlignment="1">
      <alignment horizontal="left"/>
    </xf>
    <xf numFmtId="0" fontId="7" fillId="7" borderId="20" xfId="0" applyFont="1" applyFill="1" applyBorder="1"/>
    <xf numFmtId="0" fontId="28" fillId="7" borderId="0" xfId="0" applyFont="1" applyFill="1" applyAlignment="1">
      <alignment vertical="center"/>
    </xf>
    <xf numFmtId="0" fontId="6" fillId="0" borderId="12" xfId="0" applyFont="1" applyBorder="1" applyAlignment="1">
      <alignment horizontal="left" vertical="top"/>
    </xf>
    <xf numFmtId="0" fontId="39" fillId="0" borderId="0" xfId="0" applyFont="1"/>
    <xf numFmtId="0" fontId="40" fillId="0" borderId="0" xfId="0" applyFont="1"/>
    <xf numFmtId="0" fontId="6" fillId="0" borderId="12" xfId="0" applyFont="1" applyBorder="1"/>
    <xf numFmtId="0" fontId="42" fillId="0" borderId="0" xfId="0" applyFont="1" applyAlignment="1">
      <alignment horizontal="left" vertical="center"/>
    </xf>
    <xf numFmtId="175" fontId="21" fillId="5" borderId="1" xfId="0" applyNumberFormat="1" applyFont="1" applyFill="1" applyBorder="1" applyAlignment="1" applyProtection="1">
      <alignment horizontal="center"/>
      <protection locked="0"/>
    </xf>
    <xf numFmtId="176" fontId="21" fillId="5" borderId="1" xfId="0" applyNumberFormat="1" applyFont="1" applyFill="1" applyBorder="1" applyAlignment="1" applyProtection="1">
      <alignment horizontal="center"/>
      <protection locked="0"/>
    </xf>
    <xf numFmtId="177" fontId="21" fillId="5" borderId="1" xfId="0" applyNumberFormat="1" applyFont="1" applyFill="1" applyBorder="1" applyAlignment="1" applyProtection="1">
      <alignment horizontal="center"/>
      <protection locked="0"/>
    </xf>
    <xf numFmtId="178" fontId="21" fillId="5" borderId="1" xfId="0" applyNumberFormat="1" applyFont="1" applyFill="1" applyBorder="1" applyAlignment="1" applyProtection="1">
      <alignment horizontal="center"/>
      <protection locked="0"/>
    </xf>
    <xf numFmtId="182" fontId="21" fillId="5" borderId="1" xfId="0" applyNumberFormat="1" applyFont="1" applyFill="1" applyBorder="1" applyAlignment="1" applyProtection="1">
      <alignment horizontal="center"/>
      <protection locked="0"/>
    </xf>
    <xf numFmtId="183" fontId="0" fillId="5" borderId="1" xfId="0" applyNumberFormat="1" applyFill="1" applyBorder="1" applyAlignment="1" applyProtection="1">
      <alignment horizontal="center"/>
      <protection locked="0"/>
    </xf>
    <xf numFmtId="184" fontId="0" fillId="5" borderId="1" xfId="0" applyNumberFormat="1" applyFill="1" applyBorder="1" applyAlignment="1" applyProtection="1">
      <alignment horizontal="center"/>
      <protection locked="0"/>
    </xf>
    <xf numFmtId="179" fontId="0" fillId="5" borderId="1" xfId="0" applyNumberFormat="1" applyFill="1" applyBorder="1" applyAlignment="1" applyProtection="1">
      <alignment horizontal="center"/>
      <protection locked="0"/>
    </xf>
    <xf numFmtId="180" fontId="0" fillId="5" borderId="1" xfId="0" applyNumberFormat="1" applyFill="1" applyBorder="1" applyAlignment="1" applyProtection="1">
      <alignment horizontal="center"/>
      <protection locked="0"/>
    </xf>
    <xf numFmtId="185" fontId="21" fillId="5" borderId="1" xfId="0" applyNumberFormat="1" applyFont="1" applyFill="1" applyBorder="1" applyAlignment="1" applyProtection="1">
      <alignment horizontal="center"/>
      <protection locked="0"/>
    </xf>
    <xf numFmtId="0" fontId="42" fillId="0" borderId="3" xfId="0" applyFont="1" applyBorder="1" applyAlignment="1">
      <alignment horizontal="left" vertical="center"/>
    </xf>
    <xf numFmtId="0" fontId="6" fillId="0" borderId="5" xfId="0" applyFont="1" applyBorder="1"/>
    <xf numFmtId="0" fontId="4" fillId="0" borderId="4" xfId="0" applyFont="1" applyBorder="1"/>
    <xf numFmtId="0" fontId="5" fillId="0" borderId="3" xfId="0" applyFont="1" applyBorder="1"/>
    <xf numFmtId="0" fontId="5" fillId="0" borderId="3" xfId="0" applyFont="1" applyBorder="1" applyAlignment="1">
      <alignment horizontal="center"/>
    </xf>
    <xf numFmtId="0" fontId="3" fillId="0" borderId="3" xfId="0" applyFont="1" applyBorder="1"/>
    <xf numFmtId="0" fontId="5" fillId="0" borderId="0" xfId="0" applyFont="1" applyAlignment="1">
      <alignment horizontal="centerContinuous"/>
    </xf>
    <xf numFmtId="0" fontId="3" fillId="0" borderId="0" xfId="0" applyFont="1" applyAlignment="1">
      <alignment horizontal="centerContinuous"/>
    </xf>
    <xf numFmtId="0" fontId="6" fillId="0" borderId="12" xfId="0" applyFont="1" applyBorder="1" applyAlignment="1">
      <alignment horizontal="centerContinuous"/>
    </xf>
    <xf numFmtId="0" fontId="27" fillId="0" borderId="0" xfId="0" applyFont="1" applyAlignment="1">
      <alignment horizontal="centerContinuous" vertical="center"/>
    </xf>
    <xf numFmtId="0" fontId="27" fillId="0" borderId="12" xfId="0" applyFont="1" applyBorder="1" applyAlignment="1">
      <alignment horizontal="centerContinuous" vertical="center"/>
    </xf>
    <xf numFmtId="186" fontId="0" fillId="5" borderId="1" xfId="0" applyNumberFormat="1" applyFill="1" applyBorder="1" applyAlignment="1" applyProtection="1">
      <alignment horizontal="center"/>
      <protection locked="0"/>
    </xf>
    <xf numFmtId="187" fontId="0" fillId="5" borderId="1" xfId="0" applyNumberFormat="1" applyFill="1" applyBorder="1" applyAlignment="1" applyProtection="1">
      <alignment horizontal="center"/>
      <protection locked="0"/>
    </xf>
    <xf numFmtId="188" fontId="0" fillId="5" borderId="1" xfId="0" applyNumberFormat="1" applyFill="1" applyBorder="1" applyAlignment="1" applyProtection="1">
      <alignment horizontal="center"/>
      <protection locked="0"/>
    </xf>
    <xf numFmtId="175" fontId="0" fillId="5" borderId="1" xfId="0" applyNumberFormat="1" applyFill="1" applyBorder="1" applyAlignment="1" applyProtection="1">
      <alignment horizontal="center"/>
      <protection locked="0"/>
    </xf>
    <xf numFmtId="189" fontId="0" fillId="5" borderId="1" xfId="0" applyNumberFormat="1" applyFill="1" applyBorder="1" applyAlignment="1" applyProtection="1">
      <alignment horizontal="center"/>
      <protection locked="0"/>
    </xf>
    <xf numFmtId="190" fontId="0" fillId="5" borderId="1" xfId="0" applyNumberFormat="1" applyFill="1" applyBorder="1" applyAlignment="1" applyProtection="1">
      <alignment horizontal="center"/>
      <protection locked="0"/>
    </xf>
    <xf numFmtId="191" fontId="0" fillId="5" borderId="1" xfId="0" applyNumberFormat="1" applyFill="1" applyBorder="1" applyAlignment="1" applyProtection="1">
      <alignment horizontal="center"/>
      <protection locked="0"/>
    </xf>
    <xf numFmtId="192" fontId="0" fillId="5" borderId="1" xfId="0" applyNumberFormat="1" applyFill="1" applyBorder="1" applyAlignment="1" applyProtection="1">
      <alignment horizontal="center"/>
      <protection locked="0"/>
    </xf>
    <xf numFmtId="194" fontId="0" fillId="5" borderId="1" xfId="0" applyNumberFormat="1" applyFill="1" applyBorder="1" applyAlignment="1" applyProtection="1">
      <alignment horizontal="center"/>
      <protection locked="0"/>
    </xf>
    <xf numFmtId="195" fontId="0" fillId="5" borderId="1" xfId="0" applyNumberFormat="1" applyFill="1" applyBorder="1" applyAlignment="1" applyProtection="1">
      <alignment horizontal="center"/>
      <protection locked="0"/>
    </xf>
    <xf numFmtId="0" fontId="0" fillId="0" borderId="0" xfId="0" applyAlignment="1">
      <alignment horizontal="center" vertical="center" wrapText="1"/>
    </xf>
    <xf numFmtId="0" fontId="0" fillId="0" borderId="0" xfId="0" applyAlignment="1">
      <alignment horizontal="centerContinuous"/>
    </xf>
    <xf numFmtId="0" fontId="0" fillId="7" borderId="0" xfId="0" applyFill="1" applyAlignment="1">
      <alignment horizontal="centerContinuous"/>
    </xf>
    <xf numFmtId="0" fontId="0" fillId="7" borderId="12" xfId="0" applyFill="1" applyBorder="1" applyAlignment="1">
      <alignment horizontal="centerContinuous"/>
    </xf>
    <xf numFmtId="0" fontId="11" fillId="7" borderId="20" xfId="0" applyFont="1" applyFill="1" applyBorder="1"/>
    <xf numFmtId="0" fontId="0" fillId="0" borderId="37" xfId="0" applyBorder="1"/>
    <xf numFmtId="0" fontId="7" fillId="4" borderId="39" xfId="0" applyFont="1" applyFill="1" applyBorder="1" applyAlignment="1">
      <alignment horizontal="center"/>
    </xf>
    <xf numFmtId="0" fontId="0" fillId="4" borderId="40" xfId="0" applyFill="1" applyBorder="1" applyAlignment="1">
      <alignment horizontal="left"/>
    </xf>
    <xf numFmtId="0" fontId="0" fillId="4" borderId="42" xfId="0" applyFill="1" applyBorder="1" applyAlignment="1">
      <alignment horizontal="left"/>
    </xf>
    <xf numFmtId="0" fontId="0" fillId="10" borderId="43" xfId="0" applyFill="1" applyBorder="1" applyAlignment="1" applyProtection="1">
      <alignment horizontal="center"/>
      <protection locked="0"/>
    </xf>
    <xf numFmtId="0" fontId="0" fillId="10" borderId="44" xfId="0" applyFill="1" applyBorder="1" applyAlignment="1" applyProtection="1">
      <alignment horizontal="center"/>
      <protection locked="0"/>
    </xf>
    <xf numFmtId="0" fontId="7" fillId="4" borderId="45" xfId="0" applyFont="1" applyFill="1" applyBorder="1" applyAlignment="1">
      <alignment horizontal="center"/>
    </xf>
    <xf numFmtId="0" fontId="0" fillId="10" borderId="46" xfId="0" applyFill="1" applyBorder="1" applyAlignment="1" applyProtection="1">
      <alignment horizontal="center"/>
      <protection locked="0"/>
    </xf>
    <xf numFmtId="0" fontId="0" fillId="4" borderId="45" xfId="0" applyFill="1" applyBorder="1" applyAlignment="1">
      <alignment horizontal="center"/>
    </xf>
    <xf numFmtId="0" fontId="0" fillId="4" borderId="14" xfId="0" applyFill="1" applyBorder="1" applyAlignment="1">
      <alignment horizontal="left"/>
    </xf>
    <xf numFmtId="0" fontId="0" fillId="4" borderId="10" xfId="0" applyFill="1" applyBorder="1" applyAlignment="1">
      <alignment horizontal="left"/>
    </xf>
    <xf numFmtId="0" fontId="7" fillId="4" borderId="49" xfId="0" applyFont="1" applyFill="1" applyBorder="1" applyAlignment="1">
      <alignment horizontal="center" vertical="center"/>
    </xf>
    <xf numFmtId="0" fontId="7" fillId="4" borderId="50" xfId="0" applyFont="1" applyFill="1" applyBorder="1" applyAlignment="1">
      <alignment horizontal="center" vertical="center"/>
    </xf>
    <xf numFmtId="0" fontId="24" fillId="4" borderId="51" xfId="0" applyFont="1" applyFill="1" applyBorder="1" applyAlignment="1">
      <alignment horizontal="centerContinuous"/>
    </xf>
    <xf numFmtId="0" fontId="24" fillId="4" borderId="52" xfId="0" applyFont="1" applyFill="1" applyBorder="1"/>
    <xf numFmtId="0" fontId="24" fillId="4" borderId="53" xfId="0" applyFont="1" applyFill="1" applyBorder="1" applyAlignment="1">
      <alignment horizontal="centerContinuous"/>
    </xf>
    <xf numFmtId="0" fontId="24" fillId="4" borderId="47" xfId="0" applyFont="1" applyFill="1" applyBorder="1" applyAlignment="1">
      <alignment horizontal="centerContinuous"/>
    </xf>
    <xf numFmtId="0" fontId="7" fillId="4" borderId="1" xfId="0" applyFont="1" applyFill="1" applyBorder="1" applyAlignment="1">
      <alignment horizontal="center"/>
    </xf>
    <xf numFmtId="196" fontId="0" fillId="5" borderId="1" xfId="0" applyNumberFormat="1" applyFill="1" applyBorder="1" applyAlignment="1" applyProtection="1">
      <alignment horizontal="center"/>
      <protection locked="0"/>
    </xf>
    <xf numFmtId="197" fontId="0" fillId="5" borderId="1" xfId="0" applyNumberFormat="1" applyFill="1" applyBorder="1" applyAlignment="1" applyProtection="1">
      <alignment horizontal="center"/>
      <protection locked="0"/>
    </xf>
    <xf numFmtId="198" fontId="0" fillId="5" borderId="1" xfId="0" applyNumberFormat="1" applyFill="1" applyBorder="1" applyAlignment="1" applyProtection="1">
      <alignment horizontal="center"/>
      <protection locked="0"/>
    </xf>
    <xf numFmtId="196" fontId="0" fillId="5" borderId="2" xfId="0" applyNumberFormat="1" applyFill="1" applyBorder="1" applyAlignment="1" applyProtection="1">
      <alignment horizontal="center"/>
      <protection locked="0"/>
    </xf>
    <xf numFmtId="200" fontId="0" fillId="0" borderId="15" xfId="0" applyNumberFormat="1" applyBorder="1" applyAlignment="1">
      <alignment horizontal="center"/>
    </xf>
    <xf numFmtId="0" fontId="7" fillId="4" borderId="56" xfId="0" applyFont="1" applyFill="1" applyBorder="1" applyAlignment="1">
      <alignment horizontal="center"/>
    </xf>
    <xf numFmtId="0" fontId="0" fillId="0" borderId="55" xfId="0" applyBorder="1"/>
    <xf numFmtId="201" fontId="0" fillId="5" borderId="1" xfId="0" applyNumberFormat="1" applyFill="1" applyBorder="1" applyAlignment="1" applyProtection="1">
      <alignment horizontal="center"/>
      <protection locked="0"/>
    </xf>
    <xf numFmtId="203" fontId="0" fillId="5" borderId="1" xfId="0" applyNumberFormat="1" applyFill="1" applyBorder="1" applyAlignment="1" applyProtection="1">
      <alignment horizontal="center"/>
      <protection locked="0"/>
    </xf>
    <xf numFmtId="0" fontId="1" fillId="0" borderId="4" xfId="0" applyFont="1" applyBorder="1"/>
    <xf numFmtId="0" fontId="0" fillId="0" borderId="3" xfId="0" applyBorder="1"/>
    <xf numFmtId="0" fontId="0" fillId="0" borderId="5" xfId="0" applyBorder="1"/>
    <xf numFmtId="0" fontId="0" fillId="0" borderId="24" xfId="0" applyBorder="1"/>
    <xf numFmtId="0" fontId="0" fillId="0" borderId="25" xfId="0" applyBorder="1"/>
    <xf numFmtId="0" fontId="0" fillId="0" borderId="26" xfId="0" applyBorder="1"/>
    <xf numFmtId="203" fontId="0" fillId="5" borderId="2" xfId="0" applyNumberFormat="1" applyFill="1" applyBorder="1" applyAlignment="1" applyProtection="1">
      <alignment horizontal="center"/>
      <protection locked="0"/>
    </xf>
    <xf numFmtId="0" fontId="0" fillId="0" borderId="34" xfId="0" applyBorder="1"/>
    <xf numFmtId="0" fontId="23" fillId="0" borderId="17" xfId="0" applyFont="1" applyBorder="1"/>
    <xf numFmtId="0" fontId="0" fillId="0" borderId="18" xfId="0" applyBorder="1"/>
    <xf numFmtId="0" fontId="0" fillId="0" borderId="19" xfId="0" applyBorder="1"/>
    <xf numFmtId="0" fontId="23" fillId="0" borderId="16" xfId="0" applyFont="1" applyBorder="1"/>
    <xf numFmtId="0" fontId="0" fillId="0" borderId="15" xfId="0" applyBorder="1"/>
    <xf numFmtId="0" fontId="0" fillId="0" borderId="11" xfId="0" applyBorder="1"/>
    <xf numFmtId="0" fontId="31" fillId="4" borderId="7" xfId="0" applyFont="1" applyFill="1" applyBorder="1"/>
    <xf numFmtId="0" fontId="0" fillId="4" borderId="39" xfId="0" applyFill="1" applyBorder="1" applyAlignment="1">
      <alignment horizontal="center"/>
    </xf>
    <xf numFmtId="0" fontId="0" fillId="14" borderId="57" xfId="0" applyFill="1" applyBorder="1"/>
    <xf numFmtId="0" fontId="0" fillId="15" borderId="58" xfId="0" applyFill="1" applyBorder="1"/>
    <xf numFmtId="0" fontId="47" fillId="12" borderId="59" xfId="0" applyFont="1" applyFill="1" applyBorder="1" applyAlignment="1">
      <alignment horizontal="center" vertical="center"/>
    </xf>
    <xf numFmtId="165" fontId="48" fillId="13" borderId="57" xfId="0" applyNumberFormat="1" applyFont="1" applyFill="1" applyBorder="1" applyAlignment="1">
      <alignment horizontal="left"/>
    </xf>
    <xf numFmtId="165" fontId="48" fillId="13" borderId="58" xfId="0" applyNumberFormat="1" applyFont="1" applyFill="1" applyBorder="1"/>
    <xf numFmtId="165" fontId="48" fillId="13" borderId="54" xfId="0" applyNumberFormat="1" applyFont="1" applyFill="1" applyBorder="1" applyAlignment="1">
      <alignment horizontal="left"/>
    </xf>
    <xf numFmtId="165" fontId="48" fillId="13" borderId="63" xfId="0" applyNumberFormat="1" applyFont="1" applyFill="1" applyBorder="1"/>
    <xf numFmtId="0" fontId="48" fillId="16" borderId="61" xfId="0" applyFont="1" applyFill="1" applyBorder="1" applyAlignment="1">
      <alignment horizontal="right"/>
    </xf>
    <xf numFmtId="165" fontId="48" fillId="17" borderId="60" xfId="0" applyNumberFormat="1" applyFont="1" applyFill="1" applyBorder="1" applyAlignment="1">
      <alignment horizontal="right"/>
    </xf>
    <xf numFmtId="165" fontId="48" fillId="18" borderId="62" xfId="0" applyNumberFormat="1" applyFont="1" applyFill="1" applyBorder="1" applyAlignment="1">
      <alignment horizontal="right"/>
    </xf>
    <xf numFmtId="0" fontId="49" fillId="0" borderId="0" xfId="0" applyFont="1"/>
    <xf numFmtId="0" fontId="0" fillId="8" borderId="1" xfId="0" applyFill="1" applyBorder="1" applyAlignment="1">
      <alignment horizontal="center" vertical="center" wrapText="1"/>
    </xf>
    <xf numFmtId="0" fontId="7" fillId="8" borderId="1" xfId="0" applyFont="1" applyFill="1" applyBorder="1" applyAlignment="1">
      <alignment horizontal="center" vertical="center"/>
    </xf>
    <xf numFmtId="187" fontId="0" fillId="8" borderId="1" xfId="0" applyNumberFormat="1" applyFill="1" applyBorder="1" applyAlignment="1">
      <alignment horizontal="center"/>
    </xf>
    <xf numFmtId="0" fontId="7" fillId="8" borderId="1" xfId="0" applyFont="1" applyFill="1" applyBorder="1"/>
    <xf numFmtId="0" fontId="31" fillId="4" borderId="8" xfId="0" applyFont="1" applyFill="1" applyBorder="1"/>
    <xf numFmtId="207" fontId="0" fillId="5" borderId="1" xfId="0" applyNumberFormat="1" applyFill="1" applyBorder="1" applyAlignment="1" applyProtection="1">
      <alignment horizontal="center"/>
      <protection locked="0"/>
    </xf>
    <xf numFmtId="205" fontId="7" fillId="5" borderId="1" xfId="0" applyNumberFormat="1" applyFont="1" applyFill="1" applyBorder="1" applyAlignment="1" applyProtection="1">
      <alignment horizontal="center"/>
      <protection locked="0"/>
    </xf>
    <xf numFmtId="202" fontId="0" fillId="5" borderId="1" xfId="0" applyNumberFormat="1" applyFill="1" applyBorder="1" applyAlignment="1" applyProtection="1">
      <alignment horizontal="center"/>
      <protection locked="0"/>
    </xf>
    <xf numFmtId="10" fontId="0" fillId="5" borderId="1" xfId="0" applyNumberFormat="1" applyFill="1" applyBorder="1" applyAlignment="1" applyProtection="1">
      <alignment horizontal="center"/>
      <protection locked="0"/>
    </xf>
    <xf numFmtId="0" fontId="7" fillId="5" borderId="1" xfId="0" applyFont="1" applyFill="1" applyBorder="1" applyAlignment="1" applyProtection="1">
      <alignment horizontal="center"/>
      <protection locked="0"/>
    </xf>
    <xf numFmtId="0" fontId="16" fillId="8" borderId="7" xfId="0" applyFont="1" applyFill="1" applyBorder="1"/>
    <xf numFmtId="0" fontId="15" fillId="8" borderId="1" xfId="0" applyFont="1" applyFill="1" applyBorder="1" applyAlignment="1">
      <alignment horizontal="left"/>
    </xf>
    <xf numFmtId="0" fontId="18" fillId="8" borderId="11" xfId="0" applyFont="1" applyFill="1" applyBorder="1" applyAlignment="1">
      <alignment horizontal="centerContinuous" vertical="center"/>
    </xf>
    <xf numFmtId="0" fontId="18" fillId="8" borderId="15" xfId="0" applyFont="1" applyFill="1" applyBorder="1" applyAlignment="1">
      <alignment horizontal="centerContinuous" vertical="center"/>
    </xf>
    <xf numFmtId="0" fontId="41" fillId="8" borderId="1" xfId="0" applyFont="1" applyFill="1" applyBorder="1" applyAlignment="1">
      <alignment horizontal="left"/>
    </xf>
    <xf numFmtId="0" fontId="41" fillId="8" borderId="11" xfId="0" applyFont="1" applyFill="1" applyBorder="1" applyAlignment="1">
      <alignment horizontal="centerContinuous" vertical="center"/>
    </xf>
    <xf numFmtId="0" fontId="0" fillId="8" borderId="11" xfId="0" applyFill="1" applyBorder="1" applyAlignment="1">
      <alignment horizontal="centerContinuous" vertical="center"/>
    </xf>
    <xf numFmtId="0" fontId="7" fillId="8" borderId="1" xfId="0" applyFont="1" applyFill="1" applyBorder="1" applyAlignment="1">
      <alignment horizontal="left" vertical="center"/>
    </xf>
    <xf numFmtId="0" fontId="18" fillId="8" borderId="15" xfId="0" applyFont="1" applyFill="1" applyBorder="1" applyAlignment="1">
      <alignment horizontal="center" vertical="center"/>
    </xf>
    <xf numFmtId="0" fontId="41" fillId="8" borderId="1" xfId="0" applyFont="1" applyFill="1" applyBorder="1" applyAlignment="1">
      <alignment horizontal="centerContinuous" vertical="center"/>
    </xf>
    <xf numFmtId="0" fontId="0" fillId="8" borderId="0" xfId="0" applyFill="1"/>
    <xf numFmtId="0" fontId="7" fillId="8" borderId="16" xfId="0" applyFont="1" applyFill="1" applyBorder="1"/>
    <xf numFmtId="174" fontId="0" fillId="8" borderId="11" xfId="0" applyNumberFormat="1" applyFill="1" applyBorder="1" applyAlignment="1">
      <alignment horizontal="center"/>
    </xf>
    <xf numFmtId="181" fontId="0" fillId="8" borderId="11" xfId="0" applyNumberFormat="1" applyFill="1" applyBorder="1" applyAlignment="1">
      <alignment horizontal="center"/>
    </xf>
    <xf numFmtId="180" fontId="0" fillId="8" borderId="11" xfId="0" applyNumberFormat="1" applyFill="1" applyBorder="1" applyAlignment="1">
      <alignment horizontal="center"/>
    </xf>
    <xf numFmtId="212" fontId="0" fillId="5" borderId="1" xfId="0" applyNumberFormat="1" applyFill="1" applyBorder="1" applyAlignment="1" applyProtection="1">
      <alignment horizontal="center"/>
      <protection locked="0"/>
    </xf>
    <xf numFmtId="203" fontId="21" fillId="5" borderId="1" xfId="0" applyNumberFormat="1" applyFont="1" applyFill="1" applyBorder="1" applyAlignment="1" applyProtection="1">
      <alignment horizontal="center"/>
      <protection locked="0"/>
    </xf>
    <xf numFmtId="0" fontId="0" fillId="7" borderId="1" xfId="0" applyFill="1" applyBorder="1" applyAlignment="1">
      <alignment horizontal="center" vertical="center"/>
    </xf>
    <xf numFmtId="0" fontId="0" fillId="7" borderId="1" xfId="0" applyFill="1" applyBorder="1" applyAlignment="1">
      <alignment vertical="center"/>
    </xf>
    <xf numFmtId="0" fontId="0" fillId="7" borderId="6" xfId="0" applyFill="1" applyBorder="1" applyAlignment="1">
      <alignment vertical="center"/>
    </xf>
    <xf numFmtId="0" fontId="0" fillId="7" borderId="34" xfId="0" applyFill="1" applyBorder="1" applyAlignment="1">
      <alignment vertical="center"/>
    </xf>
    <xf numFmtId="0" fontId="0" fillId="7" borderId="64" xfId="0" applyFill="1" applyBorder="1" applyAlignment="1">
      <alignment vertical="center"/>
    </xf>
    <xf numFmtId="0" fontId="36" fillId="5" borderId="1" xfId="0" applyFont="1" applyFill="1" applyBorder="1" applyAlignment="1" applyProtection="1">
      <alignment horizontal="center"/>
      <protection locked="0"/>
    </xf>
    <xf numFmtId="0" fontId="22" fillId="19" borderId="4" xfId="0" applyFont="1" applyFill="1" applyBorder="1"/>
    <xf numFmtId="0" fontId="22" fillId="19" borderId="3" xfId="0" applyFont="1" applyFill="1" applyBorder="1"/>
    <xf numFmtId="0" fontId="22" fillId="19" borderId="5" xfId="0" applyFont="1" applyFill="1" applyBorder="1"/>
    <xf numFmtId="0" fontId="7" fillId="19" borderId="1" xfId="0" applyFont="1" applyFill="1" applyBorder="1"/>
    <xf numFmtId="0" fontId="0" fillId="19" borderId="1" xfId="0" applyFill="1" applyBorder="1" applyAlignment="1">
      <alignment horizontal="center"/>
    </xf>
    <xf numFmtId="0" fontId="7" fillId="19" borderId="1" xfId="0" applyFont="1" applyFill="1" applyBorder="1" applyAlignment="1">
      <alignment horizontal="center"/>
    </xf>
    <xf numFmtId="0" fontId="0" fillId="19" borderId="1" xfId="0" applyFill="1" applyBorder="1"/>
    <xf numFmtId="0" fontId="0" fillId="19" borderId="1" xfId="0" applyFill="1" applyBorder="1" applyAlignment="1" applyProtection="1">
      <alignment horizontal="center"/>
      <protection locked="0"/>
    </xf>
    <xf numFmtId="0" fontId="0" fillId="19" borderId="2" xfId="0" applyFill="1" applyBorder="1"/>
    <xf numFmtId="0" fontId="0" fillId="19" borderId="2" xfId="0" applyFill="1" applyBorder="1" applyAlignment="1" applyProtection="1">
      <alignment horizontal="center"/>
      <protection locked="0"/>
    </xf>
    <xf numFmtId="0" fontId="0" fillId="19" borderId="2" xfId="0" applyFill="1" applyBorder="1" applyAlignment="1">
      <alignment horizontal="center"/>
    </xf>
    <xf numFmtId="0" fontId="7" fillId="19" borderId="2" xfId="0" applyFont="1" applyFill="1" applyBorder="1" applyAlignment="1">
      <alignment horizontal="center"/>
    </xf>
    <xf numFmtId="0" fontId="8" fillId="19" borderId="16" xfId="0" applyFont="1" applyFill="1" applyBorder="1" applyAlignment="1" applyProtection="1">
      <alignment horizontal="center" vertical="center"/>
      <protection locked="0"/>
    </xf>
    <xf numFmtId="0" fontId="18" fillId="19" borderId="15" xfId="0" applyFont="1" applyFill="1" applyBorder="1" applyAlignment="1">
      <alignment horizontal="center" vertical="center"/>
    </xf>
    <xf numFmtId="0" fontId="8" fillId="19" borderId="15" xfId="0" applyFont="1" applyFill="1" applyBorder="1" applyAlignment="1" applyProtection="1">
      <alignment horizontal="center" vertical="center"/>
      <protection locked="0"/>
    </xf>
    <xf numFmtId="0" fontId="18" fillId="19" borderId="11" xfId="0" applyFont="1" applyFill="1" applyBorder="1" applyAlignment="1">
      <alignment horizontal="center" vertical="center"/>
    </xf>
    <xf numFmtId="0" fontId="30" fillId="19" borderId="11" xfId="0" applyFont="1" applyFill="1" applyBorder="1" applyAlignment="1">
      <alignment horizontal="center" vertical="center"/>
    </xf>
    <xf numFmtId="0" fontId="30" fillId="19" borderId="15" xfId="0" applyFont="1" applyFill="1" applyBorder="1" applyAlignment="1">
      <alignment horizontal="center" vertical="center"/>
    </xf>
    <xf numFmtId="0" fontId="29" fillId="19" borderId="1" xfId="0" applyFont="1" applyFill="1" applyBorder="1" applyAlignment="1" applyProtection="1">
      <alignment horizontal="center" vertical="center"/>
      <protection locked="0"/>
    </xf>
    <xf numFmtId="0" fontId="30" fillId="19" borderId="1" xfId="0" applyFont="1" applyFill="1" applyBorder="1" applyAlignment="1">
      <alignment horizontal="center" vertical="center"/>
    </xf>
    <xf numFmtId="0" fontId="7" fillId="19" borderId="1" xfId="0" applyFont="1" applyFill="1" applyBorder="1" applyAlignment="1">
      <alignment horizontal="center" vertical="center"/>
    </xf>
    <xf numFmtId="0" fontId="0" fillId="19" borderId="16" xfId="0" applyFill="1" applyBorder="1" applyAlignment="1">
      <alignment horizontal="center"/>
    </xf>
    <xf numFmtId="0" fontId="0" fillId="19" borderId="15" xfId="0" applyFill="1" applyBorder="1" applyAlignment="1">
      <alignment horizontal="center"/>
    </xf>
    <xf numFmtId="0" fontId="31" fillId="19" borderId="7" xfId="0" applyFont="1" applyFill="1" applyBorder="1"/>
    <xf numFmtId="0" fontId="0" fillId="19" borderId="8" xfId="0" applyFill="1" applyBorder="1"/>
    <xf numFmtId="0" fontId="0" fillId="19" borderId="9" xfId="0" applyFill="1" applyBorder="1"/>
    <xf numFmtId="0" fontId="0" fillId="19" borderId="1" xfId="0" applyFill="1" applyBorder="1" applyAlignment="1">
      <alignment horizontal="center" vertical="center" wrapText="1"/>
    </xf>
    <xf numFmtId="0" fontId="18" fillId="19" borderId="16" xfId="0" applyFont="1" applyFill="1" applyBorder="1" applyAlignment="1">
      <alignment horizontal="centerContinuous" vertical="center"/>
    </xf>
    <xf numFmtId="0" fontId="18" fillId="19" borderId="15" xfId="0" applyFont="1" applyFill="1" applyBorder="1" applyAlignment="1">
      <alignment horizontal="right" vertical="center"/>
    </xf>
    <xf numFmtId="0" fontId="18" fillId="19" borderId="15" xfId="0" applyFont="1" applyFill="1" applyBorder="1" applyAlignment="1">
      <alignment horizontal="centerContinuous" vertical="center"/>
    </xf>
    <xf numFmtId="0" fontId="0" fillId="19" borderId="20" xfId="0" applyFill="1" applyBorder="1"/>
    <xf numFmtId="199" fontId="0" fillId="19" borderId="1" xfId="0" applyNumberFormat="1" applyFill="1" applyBorder="1" applyAlignment="1">
      <alignment horizontal="center"/>
    </xf>
    <xf numFmtId="0" fontId="0" fillId="19" borderId="11" xfId="0" applyFill="1" applyBorder="1" applyAlignment="1">
      <alignment horizontal="center"/>
    </xf>
    <xf numFmtId="196" fontId="0" fillId="19" borderId="1" xfId="0" applyNumberFormat="1" applyFill="1" applyBorder="1" applyAlignment="1">
      <alignment horizontal="center"/>
    </xf>
    <xf numFmtId="0" fontId="24" fillId="19" borderId="7" xfId="0" applyFont="1" applyFill="1" applyBorder="1" applyAlignment="1">
      <alignment horizontal="left"/>
    </xf>
    <xf numFmtId="0" fontId="19" fillId="19" borderId="8" xfId="0" applyFont="1" applyFill="1" applyBorder="1" applyAlignment="1">
      <alignment horizontal="center"/>
    </xf>
    <xf numFmtId="0" fontId="19" fillId="19" borderId="9" xfId="0" applyFont="1" applyFill="1" applyBorder="1" applyAlignment="1">
      <alignment horizontal="center"/>
    </xf>
    <xf numFmtId="0" fontId="7" fillId="19" borderId="2" xfId="0" applyFont="1" applyFill="1" applyBorder="1"/>
    <xf numFmtId="0" fontId="7" fillId="19" borderId="2" xfId="0" applyFont="1" applyFill="1" applyBorder="1" applyAlignment="1">
      <alignment horizontal="center" vertical="center"/>
    </xf>
    <xf numFmtId="0" fontId="7" fillId="19" borderId="6" xfId="0" applyFont="1" applyFill="1" applyBorder="1" applyAlignment="1">
      <alignment horizontal="center" vertical="center"/>
    </xf>
    <xf numFmtId="0" fontId="7" fillId="19" borderId="6" xfId="0" applyFont="1" applyFill="1" applyBorder="1"/>
    <xf numFmtId="0" fontId="7" fillId="19" borderId="4" xfId="0" applyFont="1" applyFill="1" applyBorder="1"/>
    <xf numFmtId="0" fontId="16" fillId="19" borderId="3" xfId="0" applyFont="1" applyFill="1" applyBorder="1"/>
    <xf numFmtId="0" fontId="0" fillId="19" borderId="3" xfId="0" applyFill="1" applyBorder="1"/>
    <xf numFmtId="0" fontId="0" fillId="19" borderId="5" xfId="0" applyFill="1" applyBorder="1"/>
    <xf numFmtId="0" fontId="0" fillId="19" borderId="0" xfId="0" applyFill="1"/>
    <xf numFmtId="0" fontId="0" fillId="19" borderId="12" xfId="0" applyFill="1" applyBorder="1"/>
    <xf numFmtId="0" fontId="18" fillId="19" borderId="1" xfId="0" applyFont="1" applyFill="1" applyBorder="1" applyAlignment="1">
      <alignment horizontal="center" vertical="center"/>
    </xf>
    <xf numFmtId="0" fontId="18" fillId="19" borderId="1" xfId="0" applyFont="1" applyFill="1" applyBorder="1"/>
    <xf numFmtId="0" fontId="0" fillId="19" borderId="13" xfId="0" applyFill="1" applyBorder="1"/>
    <xf numFmtId="0" fontId="15" fillId="19" borderId="15" xfId="0" applyFont="1" applyFill="1" applyBorder="1"/>
    <xf numFmtId="0" fontId="0" fillId="19" borderId="14" xfId="0" applyFill="1" applyBorder="1"/>
    <xf numFmtId="0" fontId="0" fillId="19" borderId="10" xfId="0" applyFill="1" applyBorder="1"/>
    <xf numFmtId="0" fontId="25" fillId="19" borderId="7" xfId="0" applyFont="1" applyFill="1" applyBorder="1"/>
    <xf numFmtId="0" fontId="22" fillId="19" borderId="8" xfId="0" applyFont="1" applyFill="1" applyBorder="1"/>
    <xf numFmtId="0" fontId="22" fillId="19" borderId="9" xfId="0" applyFont="1" applyFill="1" applyBorder="1"/>
    <xf numFmtId="0" fontId="23" fillId="19" borderId="7" xfId="0" applyFont="1" applyFill="1" applyBorder="1" applyAlignment="1">
      <alignment horizontal="left"/>
    </xf>
    <xf numFmtId="0" fontId="23" fillId="19" borderId="9" xfId="0" applyFont="1" applyFill="1" applyBorder="1" applyAlignment="1">
      <alignment horizontal="left"/>
    </xf>
    <xf numFmtId="0" fontId="7" fillId="19" borderId="0" xfId="0" applyFont="1" applyFill="1" applyAlignment="1">
      <alignment horizontal="left" vertical="top"/>
    </xf>
    <xf numFmtId="0" fontId="0" fillId="19" borderId="19" xfId="0" applyFill="1" applyBorder="1"/>
    <xf numFmtId="0" fontId="15" fillId="19" borderId="1" xfId="0" applyFont="1" applyFill="1" applyBorder="1" applyAlignment="1">
      <alignment horizontal="center" wrapText="1"/>
    </xf>
    <xf numFmtId="0" fontId="23" fillId="19" borderId="4" xfId="0" applyFont="1" applyFill="1" applyBorder="1" applyAlignment="1">
      <alignment horizontal="left"/>
    </xf>
    <xf numFmtId="0" fontId="19" fillId="19" borderId="3" xfId="0" applyFont="1" applyFill="1" applyBorder="1" applyAlignment="1">
      <alignment horizontal="center"/>
    </xf>
    <xf numFmtId="0" fontId="23" fillId="19" borderId="5" xfId="0" applyFont="1" applyFill="1" applyBorder="1" applyAlignment="1">
      <alignment horizontal="left"/>
    </xf>
    <xf numFmtId="0" fontId="15" fillId="19" borderId="2" xfId="0" applyFont="1" applyFill="1" applyBorder="1" applyAlignment="1">
      <alignment horizontal="center" vertical="top" wrapText="1"/>
    </xf>
    <xf numFmtId="0" fontId="19" fillId="19" borderId="16" xfId="0" applyFont="1" applyFill="1" applyBorder="1" applyAlignment="1">
      <alignment horizontal="center"/>
    </xf>
    <xf numFmtId="0" fontId="15" fillId="19" borderId="6" xfId="0" applyFont="1" applyFill="1" applyBorder="1" applyAlignment="1">
      <alignment horizontal="center" vertical="top" wrapText="1"/>
    </xf>
    <xf numFmtId="0" fontId="37" fillId="19" borderId="7" xfId="0" applyFont="1" applyFill="1" applyBorder="1"/>
    <xf numFmtId="0" fontId="25" fillId="19" borderId="8" xfId="0" applyFont="1" applyFill="1" applyBorder="1"/>
    <xf numFmtId="0" fontId="25" fillId="19" borderId="9" xfId="0" applyFont="1" applyFill="1" applyBorder="1"/>
    <xf numFmtId="0" fontId="28" fillId="19" borderId="36" xfId="0" applyFont="1" applyFill="1" applyBorder="1" applyAlignment="1">
      <alignment horizontal="center" vertical="center" wrapText="1"/>
    </xf>
    <xf numFmtId="2" fontId="28" fillId="19" borderId="36" xfId="0" applyNumberFormat="1" applyFont="1" applyFill="1" applyBorder="1" applyAlignment="1">
      <alignment horizontal="center" vertical="center" wrapText="1"/>
    </xf>
    <xf numFmtId="165" fontId="28" fillId="19" borderId="36" xfId="0" applyNumberFormat="1" applyFont="1" applyFill="1" applyBorder="1" applyAlignment="1">
      <alignment horizontal="center" vertical="center" wrapText="1"/>
    </xf>
    <xf numFmtId="0" fontId="18" fillId="19" borderId="1" xfId="0" applyFont="1" applyFill="1" applyBorder="1" applyAlignment="1">
      <alignment horizontal="center" vertical="center" wrapText="1"/>
    </xf>
    <xf numFmtId="0" fontId="28" fillId="19" borderId="22" xfId="0" applyFont="1" applyFill="1" applyBorder="1" applyAlignment="1">
      <alignment horizontal="center" vertical="center" wrapText="1"/>
    </xf>
    <xf numFmtId="1" fontId="28" fillId="19" borderId="36" xfId="0" applyNumberFormat="1" applyFont="1" applyFill="1" applyBorder="1" applyAlignment="1">
      <alignment horizontal="center" vertical="center" wrapText="1"/>
    </xf>
    <xf numFmtId="0" fontId="16" fillId="19" borderId="7" xfId="0" applyFont="1" applyFill="1" applyBorder="1"/>
    <xf numFmtId="174" fontId="0" fillId="19" borderId="1" xfId="0" applyNumberFormat="1" applyFill="1" applyBorder="1" applyAlignment="1">
      <alignment horizontal="center"/>
    </xf>
    <xf numFmtId="0" fontId="22" fillId="19" borderId="7" xfId="0" applyFont="1" applyFill="1" applyBorder="1"/>
    <xf numFmtId="0" fontId="24" fillId="19" borderId="16" xfId="0" applyFont="1" applyFill="1" applyBorder="1" applyAlignment="1">
      <alignment horizontal="left"/>
    </xf>
    <xf numFmtId="0" fontId="19" fillId="19" borderId="15" xfId="0" applyFont="1" applyFill="1" applyBorder="1" applyAlignment="1">
      <alignment horizontal="center"/>
    </xf>
    <xf numFmtId="0" fontId="19" fillId="19" borderId="11" xfId="0" applyFont="1" applyFill="1" applyBorder="1" applyAlignment="1">
      <alignment horizontal="center"/>
    </xf>
    <xf numFmtId="0" fontId="0" fillId="19" borderId="15" xfId="0" applyFill="1" applyBorder="1"/>
    <xf numFmtId="0" fontId="0" fillId="19" borderId="11" xfId="0" applyFill="1" applyBorder="1"/>
    <xf numFmtId="179" fontId="0" fillId="19" borderId="1" xfId="0" applyNumberFormat="1" applyFill="1" applyBorder="1" applyAlignment="1">
      <alignment horizontal="center"/>
    </xf>
    <xf numFmtId="175" fontId="0" fillId="19" borderId="1" xfId="0" applyNumberFormat="1" applyFill="1" applyBorder="1" applyAlignment="1">
      <alignment horizontal="center"/>
    </xf>
    <xf numFmtId="0" fontId="31" fillId="19" borderId="8" xfId="0" applyFont="1" applyFill="1" applyBorder="1" applyAlignment="1">
      <alignment horizontal="center"/>
    </xf>
    <xf numFmtId="0" fontId="0" fillId="19" borderId="9" xfId="0" applyFill="1" applyBorder="1" applyAlignment="1">
      <alignment horizontal="center"/>
    </xf>
    <xf numFmtId="0" fontId="24" fillId="19" borderId="8" xfId="0" applyFont="1" applyFill="1" applyBorder="1" applyAlignment="1">
      <alignment horizontal="left"/>
    </xf>
    <xf numFmtId="0" fontId="0" fillId="19" borderId="23" xfId="0" applyFill="1" applyBorder="1" applyAlignment="1">
      <alignment horizontal="center" vertical="center" wrapText="1"/>
    </xf>
    <xf numFmtId="193" fontId="0" fillId="19" borderId="16" xfId="0" applyNumberFormat="1" applyFill="1" applyBorder="1" applyAlignment="1">
      <alignment horizontal="center"/>
    </xf>
    <xf numFmtId="0" fontId="23" fillId="19" borderId="24" xfId="0" applyFont="1" applyFill="1" applyBorder="1" applyAlignment="1">
      <alignment horizontal="left"/>
    </xf>
    <xf numFmtId="0" fontId="24" fillId="19" borderId="25" xfId="0" applyFont="1" applyFill="1" applyBorder="1" applyAlignment="1">
      <alignment horizontal="left"/>
    </xf>
    <xf numFmtId="0" fontId="19" fillId="19" borderId="25" xfId="0" applyFont="1" applyFill="1" applyBorder="1" applyAlignment="1">
      <alignment horizontal="center"/>
    </xf>
    <xf numFmtId="0" fontId="19" fillId="19" borderId="26" xfId="0" applyFont="1" applyFill="1" applyBorder="1" applyAlignment="1">
      <alignment horizontal="center"/>
    </xf>
    <xf numFmtId="0" fontId="15" fillId="19" borderId="2" xfId="0" applyFont="1" applyFill="1" applyBorder="1"/>
    <xf numFmtId="0" fontId="15" fillId="19" borderId="2" xfId="0" applyFont="1" applyFill="1" applyBorder="1" applyAlignment="1">
      <alignment horizontal="center" vertical="center"/>
    </xf>
    <xf numFmtId="49" fontId="0" fillId="19" borderId="16" xfId="0" quotePrefix="1" applyNumberFormat="1" applyFill="1" applyBorder="1" applyAlignment="1">
      <alignment horizontal="center"/>
    </xf>
    <xf numFmtId="49" fontId="0" fillId="19" borderId="1" xfId="0" quotePrefix="1" applyNumberFormat="1" applyFill="1" applyBorder="1" applyAlignment="1">
      <alignment horizontal="center"/>
    </xf>
    <xf numFmtId="0" fontId="7" fillId="19" borderId="1" xfId="0" quotePrefix="1" applyFont="1" applyFill="1" applyBorder="1" applyAlignment="1">
      <alignment horizontal="center"/>
    </xf>
    <xf numFmtId="0" fontId="7" fillId="19" borderId="1" xfId="0" quotePrefix="1" applyFont="1" applyFill="1" applyBorder="1" applyAlignment="1">
      <alignment horizontal="center" vertical="center"/>
    </xf>
    <xf numFmtId="0" fontId="38" fillId="19" borderId="7" xfId="0" applyFont="1" applyFill="1" applyBorder="1"/>
    <xf numFmtId="0" fontId="1" fillId="19" borderId="1" xfId="0" applyFont="1" applyFill="1" applyBorder="1" applyAlignment="1">
      <alignment horizontal="center"/>
    </xf>
    <xf numFmtId="0" fontId="1" fillId="19" borderId="1" xfId="0" applyFont="1" applyFill="1" applyBorder="1" applyAlignment="1">
      <alignment horizontal="left"/>
    </xf>
    <xf numFmtId="0" fontId="0" fillId="19" borderId="1" xfId="0" applyFill="1" applyBorder="1" applyAlignment="1">
      <alignment horizontal="left"/>
    </xf>
    <xf numFmtId="0" fontId="0" fillId="0" borderId="33" xfId="0" applyBorder="1"/>
    <xf numFmtId="0" fontId="11" fillId="5" borderId="27" xfId="0" applyFont="1" applyFill="1" applyBorder="1" applyProtection="1">
      <protection locked="0"/>
    </xf>
    <xf numFmtId="200" fontId="0" fillId="5" borderId="16" xfId="0" applyNumberFormat="1" applyFill="1" applyBorder="1" applyProtection="1">
      <protection locked="0"/>
    </xf>
    <xf numFmtId="201" fontId="0" fillId="5" borderId="16" xfId="0" applyNumberFormat="1" applyFill="1" applyBorder="1" applyAlignment="1" applyProtection="1">
      <alignment horizontal="centerContinuous"/>
      <protection locked="0"/>
    </xf>
    <xf numFmtId="49" fontId="21" fillId="5" borderId="6" xfId="0" applyNumberFormat="1" applyFont="1" applyFill="1" applyBorder="1" applyAlignment="1" applyProtection="1">
      <alignment horizontal="center"/>
      <protection locked="0"/>
    </xf>
    <xf numFmtId="0" fontId="0" fillId="5" borderId="3" xfId="0" applyFill="1" applyBorder="1" applyAlignment="1" applyProtection="1">
      <alignment horizontal="center"/>
      <protection locked="0"/>
    </xf>
    <xf numFmtId="0" fontId="7" fillId="4" borderId="38" xfId="0" applyFont="1" applyFill="1" applyBorder="1" applyAlignment="1">
      <alignment horizontal="center" vertical="center"/>
    </xf>
    <xf numFmtId="0" fontId="0" fillId="5" borderId="13" xfId="0" applyFill="1" applyBorder="1" applyAlignment="1" applyProtection="1">
      <alignment horizontal="center"/>
      <protection locked="0"/>
    </xf>
    <xf numFmtId="0" fontId="0" fillId="5" borderId="16" xfId="0" applyFill="1" applyBorder="1" applyAlignment="1" applyProtection="1">
      <alignment horizontal="center"/>
      <protection locked="0"/>
    </xf>
    <xf numFmtId="0" fontId="0" fillId="5" borderId="41" xfId="0" applyFill="1" applyBorder="1" applyAlignment="1" applyProtection="1">
      <alignment horizontal="center"/>
      <protection locked="0"/>
    </xf>
    <xf numFmtId="0" fontId="18" fillId="0" borderId="20" xfId="0" applyFont="1" applyBorder="1"/>
    <xf numFmtId="0" fontId="43" fillId="0" borderId="20" xfId="0" applyFont="1" applyBorder="1"/>
    <xf numFmtId="0" fontId="7" fillId="19" borderId="16" xfId="0" applyFont="1" applyFill="1" applyBorder="1" applyAlignment="1">
      <alignment horizontal="center" vertical="center"/>
    </xf>
    <xf numFmtId="0" fontId="7" fillId="19" borderId="15" xfId="0" applyFont="1" applyFill="1" applyBorder="1" applyAlignment="1">
      <alignment horizontal="center"/>
    </xf>
    <xf numFmtId="0" fontId="7" fillId="19" borderId="16" xfId="0" applyFont="1" applyFill="1" applyBorder="1" applyAlignment="1">
      <alignment horizontal="center"/>
    </xf>
    <xf numFmtId="0" fontId="15" fillId="19" borderId="1" xfId="0" applyFont="1" applyFill="1" applyBorder="1"/>
    <xf numFmtId="0" fontId="0" fillId="0" borderId="65" xfId="0" applyBorder="1"/>
    <xf numFmtId="0" fontId="27" fillId="0" borderId="20" xfId="0" applyFont="1" applyBorder="1" applyAlignment="1">
      <alignment horizontal="centerContinuous" vertical="center"/>
    </xf>
    <xf numFmtId="0" fontId="42" fillId="0" borderId="20" xfId="0" applyFont="1" applyBorder="1" applyAlignment="1">
      <alignment horizontal="left" vertical="center"/>
    </xf>
    <xf numFmtId="0" fontId="42" fillId="0" borderId="4" xfId="0" applyFont="1" applyBorder="1" applyAlignment="1">
      <alignment horizontal="left" vertical="center"/>
    </xf>
    <xf numFmtId="0" fontId="42" fillId="0" borderId="13" xfId="0" applyFont="1" applyBorder="1" applyAlignment="1">
      <alignment horizontal="left" vertical="center"/>
    </xf>
    <xf numFmtId="0" fontId="42" fillId="0" borderId="14" xfId="0" applyFont="1" applyBorder="1" applyAlignment="1">
      <alignment horizontal="left" vertical="center"/>
    </xf>
    <xf numFmtId="0" fontId="6" fillId="0" borderId="10" xfId="0" applyFont="1" applyBorder="1"/>
    <xf numFmtId="0" fontId="46" fillId="8" borderId="7" xfId="0" applyFont="1" applyFill="1" applyBorder="1" applyAlignment="1">
      <alignment horizontal="centerContinuous"/>
    </xf>
    <xf numFmtId="0" fontId="36" fillId="8" borderId="8" xfId="0" applyFont="1" applyFill="1" applyBorder="1" applyAlignment="1">
      <alignment horizontal="centerContinuous"/>
    </xf>
    <xf numFmtId="0" fontId="45" fillId="8" borderId="8" xfId="0" applyFont="1" applyFill="1" applyBorder="1" applyAlignment="1">
      <alignment horizontal="centerContinuous"/>
    </xf>
    <xf numFmtId="0" fontId="36" fillId="8" borderId="9" xfId="0" applyFont="1" applyFill="1" applyBorder="1" applyAlignment="1">
      <alignment horizontal="centerContinuous"/>
    </xf>
    <xf numFmtId="0" fontId="0" fillId="0" borderId="38" xfId="0" applyBorder="1"/>
    <xf numFmtId="0" fontId="0" fillId="4" borderId="13" xfId="0" applyFill="1" applyBorder="1" applyAlignment="1">
      <alignment horizontal="left"/>
    </xf>
    <xf numFmtId="0" fontId="0" fillId="4" borderId="16" xfId="0" applyFill="1" applyBorder="1" applyAlignment="1">
      <alignment horizontal="left"/>
    </xf>
    <xf numFmtId="0" fontId="0" fillId="4" borderId="41" xfId="0" applyFill="1" applyBorder="1" applyAlignment="1">
      <alignment horizontal="left"/>
    </xf>
    <xf numFmtId="0" fontId="0" fillId="0" borderId="0" xfId="0" applyAlignment="1">
      <alignment vertical="top" wrapText="1"/>
    </xf>
    <xf numFmtId="0" fontId="15" fillId="5" borderId="1" xfId="0" applyFont="1" applyFill="1" applyBorder="1" applyAlignment="1" applyProtection="1">
      <alignment horizontal="center" vertical="center" wrapText="1"/>
      <protection locked="0"/>
    </xf>
    <xf numFmtId="0" fontId="0" fillId="4" borderId="3" xfId="0" applyFill="1" applyBorder="1"/>
    <xf numFmtId="0" fontId="0" fillId="0" borderId="4" xfId="0" applyBorder="1"/>
    <xf numFmtId="0" fontId="36" fillId="4" borderId="1" xfId="0" applyFont="1" applyFill="1" applyBorder="1" applyAlignment="1">
      <alignment horizontal="center" vertical="center"/>
    </xf>
    <xf numFmtId="0" fontId="7" fillId="0" borderId="0" xfId="0" applyFont="1" applyAlignment="1">
      <alignment vertical="top" wrapText="1"/>
    </xf>
    <xf numFmtId="0" fontId="0" fillId="8" borderId="1" xfId="0" applyFill="1" applyBorder="1" applyAlignment="1">
      <alignment vertical="top"/>
    </xf>
    <xf numFmtId="0" fontId="16" fillId="8" borderId="4" xfId="0" applyFont="1" applyFill="1" applyBorder="1"/>
    <xf numFmtId="0" fontId="0" fillId="8" borderId="3" xfId="0" applyFill="1" applyBorder="1"/>
    <xf numFmtId="0" fontId="36" fillId="7" borderId="12" xfId="0" applyFont="1" applyFill="1" applyBorder="1" applyAlignment="1">
      <alignment horizontal="center" vertical="center"/>
    </xf>
    <xf numFmtId="0" fontId="7" fillId="0" borderId="15" xfId="0" applyFont="1" applyBorder="1" applyAlignment="1">
      <alignment vertical="top" wrapText="1"/>
    </xf>
    <xf numFmtId="0" fontId="7" fillId="0" borderId="11" xfId="0" applyFont="1" applyBorder="1" applyAlignment="1">
      <alignment vertical="top" wrapText="1"/>
    </xf>
    <xf numFmtId="0" fontId="3" fillId="19" borderId="16" xfId="0" applyFont="1" applyFill="1" applyBorder="1" applyAlignment="1">
      <alignment horizontal="center"/>
    </xf>
    <xf numFmtId="0" fontId="3" fillId="19" borderId="15" xfId="0" applyFont="1" applyFill="1" applyBorder="1" applyAlignment="1">
      <alignment horizontal="center"/>
    </xf>
    <xf numFmtId="0" fontId="3" fillId="19" borderId="11" xfId="0" applyFont="1" applyFill="1" applyBorder="1" applyAlignment="1">
      <alignment horizontal="center"/>
    </xf>
    <xf numFmtId="0" fontId="7" fillId="19" borderId="11" xfId="0" applyFont="1" applyFill="1" applyBorder="1" applyAlignment="1">
      <alignment horizontal="center"/>
    </xf>
    <xf numFmtId="0" fontId="0" fillId="7" borderId="27" xfId="0" applyFill="1" applyBorder="1" applyAlignment="1">
      <alignment horizontal="center"/>
    </xf>
    <xf numFmtId="213" fontId="21" fillId="5" borderId="1" xfId="0" applyNumberFormat="1" applyFont="1" applyFill="1" applyBorder="1" applyAlignment="1" applyProtection="1">
      <alignment horizontal="center"/>
      <protection locked="0"/>
    </xf>
    <xf numFmtId="0" fontId="44" fillId="8" borderId="15" xfId="0" applyFont="1" applyFill="1" applyBorder="1" applyAlignment="1">
      <alignment horizontal="center" vertical="center"/>
    </xf>
    <xf numFmtId="0" fontId="44" fillId="8" borderId="11" xfId="0" applyFont="1" applyFill="1" applyBorder="1" applyAlignment="1">
      <alignment horizontal="center" vertical="center"/>
    </xf>
    <xf numFmtId="0" fontId="44" fillId="8" borderId="15" xfId="0" applyFont="1" applyFill="1" applyBorder="1" applyAlignment="1">
      <alignment horizontal="right" vertical="center"/>
    </xf>
    <xf numFmtId="0" fontId="44" fillId="8" borderId="11" xfId="0" applyFont="1" applyFill="1" applyBorder="1" applyAlignment="1">
      <alignment horizontal="centerContinuous" vertical="center"/>
    </xf>
    <xf numFmtId="207" fontId="43" fillId="8" borderId="1" xfId="0" applyNumberFormat="1" applyFont="1" applyFill="1" applyBorder="1" applyAlignment="1">
      <alignment horizontal="center"/>
    </xf>
    <xf numFmtId="206" fontId="43" fillId="9" borderId="0" xfId="0" applyNumberFormat="1" applyFont="1" applyFill="1"/>
    <xf numFmtId="196" fontId="43" fillId="9" borderId="11" xfId="0" applyNumberFormat="1" applyFont="1" applyFill="1" applyBorder="1" applyAlignment="1">
      <alignment horizontal="center"/>
    </xf>
    <xf numFmtId="209" fontId="43" fillId="8" borderId="1" xfId="0" applyNumberFormat="1" applyFont="1" applyFill="1" applyBorder="1" applyAlignment="1">
      <alignment horizontal="center"/>
    </xf>
    <xf numFmtId="208" fontId="43" fillId="9" borderId="16" xfId="0" applyNumberFormat="1" applyFont="1" applyFill="1" applyBorder="1"/>
    <xf numFmtId="208" fontId="43" fillId="9" borderId="11" xfId="0" applyNumberFormat="1" applyFont="1" applyFill="1" applyBorder="1"/>
    <xf numFmtId="208" fontId="43" fillId="8" borderId="1" xfId="0" applyNumberFormat="1" applyFont="1" applyFill="1" applyBorder="1" applyAlignment="1">
      <alignment horizontal="center"/>
    </xf>
    <xf numFmtId="0" fontId="43" fillId="0" borderId="0" xfId="0" applyFont="1"/>
    <xf numFmtId="0" fontId="50" fillId="8" borderId="15" xfId="0" applyFont="1" applyFill="1" applyBorder="1" applyAlignment="1">
      <alignment horizontal="right" vertical="center"/>
    </xf>
    <xf numFmtId="0" fontId="51" fillId="8" borderId="11" xfId="0" applyFont="1" applyFill="1" applyBorder="1" applyAlignment="1">
      <alignment horizontal="centerContinuous" vertical="center"/>
    </xf>
    <xf numFmtId="207" fontId="43" fillId="8" borderId="11" xfId="0" applyNumberFormat="1" applyFont="1" applyFill="1" applyBorder="1" applyAlignment="1">
      <alignment horizontal="center"/>
    </xf>
    <xf numFmtId="208" fontId="43" fillId="8" borderId="16" xfId="0" applyNumberFormat="1" applyFont="1" applyFill="1" applyBorder="1"/>
    <xf numFmtId="208" fontId="43" fillId="8" borderId="11" xfId="0" applyNumberFormat="1" applyFont="1" applyFill="1" applyBorder="1"/>
    <xf numFmtId="0" fontId="7" fillId="19" borderId="16" xfId="0" applyFont="1" applyFill="1" applyBorder="1"/>
    <xf numFmtId="0" fontId="0" fillId="19" borderId="16" xfId="0" applyFill="1" applyBorder="1"/>
    <xf numFmtId="201" fontId="0" fillId="5" borderId="16" xfId="0" applyNumberFormat="1" applyFill="1" applyBorder="1" applyAlignment="1" applyProtection="1">
      <alignment horizontal="center"/>
      <protection locked="0"/>
    </xf>
    <xf numFmtId="200" fontId="0" fillId="0" borderId="3" xfId="0" applyNumberFormat="1" applyBorder="1" applyAlignment="1">
      <alignment horizontal="center"/>
    </xf>
    <xf numFmtId="0" fontId="43" fillId="7" borderId="20" xfId="0" applyFont="1" applyFill="1" applyBorder="1"/>
    <xf numFmtId="0" fontId="0" fillId="19" borderId="8" xfId="0" applyFill="1" applyBorder="1" applyAlignment="1">
      <alignment horizontal="center"/>
    </xf>
    <xf numFmtId="0" fontId="52" fillId="0" borderId="0" xfId="0" applyFont="1"/>
    <xf numFmtId="49" fontId="52" fillId="0" borderId="0" xfId="0" applyNumberFormat="1" applyFont="1"/>
    <xf numFmtId="0" fontId="53" fillId="0" borderId="0" xfId="0" applyFont="1"/>
    <xf numFmtId="0" fontId="54" fillId="0" borderId="0" xfId="0" applyFont="1"/>
    <xf numFmtId="17" fontId="52" fillId="0" borderId="0" xfId="0" applyNumberFormat="1" applyFont="1"/>
    <xf numFmtId="0" fontId="55" fillId="0" borderId="0" xfId="0" applyFont="1"/>
    <xf numFmtId="165" fontId="52" fillId="0" borderId="0" xfId="0" applyNumberFormat="1" applyFont="1"/>
    <xf numFmtId="0" fontId="56" fillId="0" borderId="0" xfId="0" applyFont="1"/>
    <xf numFmtId="0" fontId="52" fillId="0" borderId="0" xfId="0" applyFont="1" applyAlignment="1">
      <alignment horizontal="center" vertical="center"/>
    </xf>
    <xf numFmtId="0" fontId="52" fillId="0" borderId="0" xfId="0" applyFont="1" applyAlignment="1">
      <alignment horizontal="center"/>
    </xf>
    <xf numFmtId="165" fontId="52" fillId="0" borderId="0" xfId="0" applyNumberFormat="1" applyFont="1" applyAlignment="1">
      <alignment horizontal="center"/>
    </xf>
    <xf numFmtId="1" fontId="52" fillId="0" borderId="0" xfId="0" applyNumberFormat="1" applyFont="1" applyAlignment="1">
      <alignment horizontal="center"/>
    </xf>
    <xf numFmtId="0" fontId="52" fillId="7" borderId="0" xfId="0" applyFont="1" applyFill="1"/>
    <xf numFmtId="204" fontId="52" fillId="0" borderId="0" xfId="0" applyNumberFormat="1" applyFont="1"/>
    <xf numFmtId="210" fontId="52" fillId="0" borderId="0" xfId="0" applyNumberFormat="1" applyFont="1"/>
    <xf numFmtId="211" fontId="52" fillId="0" borderId="0" xfId="0" applyNumberFormat="1" applyFont="1"/>
    <xf numFmtId="10" fontId="52" fillId="0" borderId="0" xfId="0" applyNumberFormat="1" applyFont="1"/>
    <xf numFmtId="0" fontId="52" fillId="0" borderId="0" xfId="0" applyFont="1" applyAlignment="1">
      <alignment vertical="top" wrapText="1"/>
    </xf>
    <xf numFmtId="9" fontId="52" fillId="0" borderId="0" xfId="0" applyNumberFormat="1" applyFont="1"/>
    <xf numFmtId="1" fontId="52" fillId="0" borderId="0" xfId="0" applyNumberFormat="1" applyFont="1"/>
    <xf numFmtId="11" fontId="52" fillId="0" borderId="0" xfId="0" applyNumberFormat="1" applyFont="1"/>
    <xf numFmtId="49" fontId="52" fillId="0" borderId="0" xfId="0" quotePrefix="1" applyNumberFormat="1" applyFont="1"/>
    <xf numFmtId="0" fontId="18" fillId="0" borderId="0" xfId="0" applyFont="1"/>
    <xf numFmtId="0" fontId="15" fillId="8" borderId="11" xfId="0" applyFont="1" applyFill="1" applyBorder="1"/>
    <xf numFmtId="0" fontId="15" fillId="0" borderId="0" xfId="0" applyFont="1"/>
    <xf numFmtId="0" fontId="11" fillId="0" borderId="0" xfId="0" applyFont="1" applyAlignment="1">
      <alignment horizontal="centerContinuous" wrapText="1"/>
    </xf>
    <xf numFmtId="0" fontId="47" fillId="12" borderId="66" xfId="0" applyFont="1" applyFill="1" applyBorder="1" applyAlignment="1">
      <alignment horizontal="center" vertical="center"/>
    </xf>
    <xf numFmtId="49" fontId="0" fillId="11" borderId="67" xfId="0" applyNumberFormat="1" applyFill="1" applyBorder="1" applyAlignment="1">
      <alignment horizontal="center"/>
    </xf>
    <xf numFmtId="49" fontId="0" fillId="11" borderId="68" xfId="0" applyNumberFormat="1" applyFill="1" applyBorder="1" applyAlignment="1">
      <alignment horizontal="center"/>
    </xf>
    <xf numFmtId="49" fontId="0" fillId="11" borderId="69" xfId="0" applyNumberFormat="1" applyFill="1" applyBorder="1" applyAlignment="1">
      <alignment horizontal="center"/>
    </xf>
    <xf numFmtId="0" fontId="0" fillId="8" borderId="11" xfId="0" applyFill="1" applyBorder="1"/>
    <xf numFmtId="0" fontId="1" fillId="16" borderId="0" xfId="0" applyFont="1" applyFill="1"/>
    <xf numFmtId="49" fontId="2" fillId="0" borderId="0" xfId="0" applyNumberFormat="1" applyFont="1"/>
    <xf numFmtId="49" fontId="2" fillId="0" borderId="0" xfId="0" quotePrefix="1" applyNumberFormat="1" applyFont="1"/>
    <xf numFmtId="0" fontId="2" fillId="0" borderId="0" xfId="0" quotePrefix="1" applyFont="1"/>
    <xf numFmtId="0" fontId="25" fillId="19" borderId="6" xfId="0" applyFont="1" applyFill="1" applyBorder="1" applyAlignment="1">
      <alignment horizontal="left"/>
    </xf>
    <xf numFmtId="0" fontId="25" fillId="4" borderId="6" xfId="0" applyFont="1" applyFill="1" applyBorder="1" applyAlignment="1">
      <alignment horizontal="left"/>
    </xf>
    <xf numFmtId="0" fontId="24" fillId="19" borderId="6" xfId="0" applyFont="1" applyFill="1" applyBorder="1" applyAlignment="1">
      <alignment horizontal="left"/>
    </xf>
    <xf numFmtId="0" fontId="24" fillId="4" borderId="6" xfId="0" applyFont="1" applyFill="1" applyBorder="1" applyAlignment="1">
      <alignment horizontal="left"/>
    </xf>
    <xf numFmtId="0" fontId="22" fillId="19" borderId="7" xfId="0" applyFont="1" applyFill="1" applyBorder="1" applyAlignment="1">
      <alignment horizontal="left"/>
    </xf>
    <xf numFmtId="0" fontId="22" fillId="4" borderId="8" xfId="0" applyFont="1" applyFill="1" applyBorder="1" applyAlignment="1">
      <alignment horizontal="left"/>
    </xf>
    <xf numFmtId="0" fontId="22" fillId="4" borderId="9" xfId="0" applyFont="1" applyFill="1" applyBorder="1" applyAlignment="1">
      <alignment horizontal="left"/>
    </xf>
    <xf numFmtId="0" fontId="0" fillId="7" borderId="0" xfId="0" applyFill="1" applyAlignment="1">
      <alignment horizontal="center" wrapText="1"/>
    </xf>
    <xf numFmtId="0" fontId="0" fillId="7" borderId="12" xfId="0" applyFill="1" applyBorder="1" applyAlignment="1">
      <alignment horizontal="center" wrapText="1"/>
    </xf>
    <xf numFmtId="0" fontId="3" fillId="7" borderId="13" xfId="0" applyFont="1" applyFill="1" applyBorder="1" applyAlignment="1">
      <alignment horizontal="center" wrapText="1"/>
    </xf>
    <xf numFmtId="0" fontId="3" fillId="7" borderId="14" xfId="0" applyFont="1" applyFill="1" applyBorder="1" applyAlignment="1">
      <alignment horizontal="center" wrapText="1"/>
    </xf>
    <xf numFmtId="0" fontId="7" fillId="7" borderId="20" xfId="0" applyFont="1" applyFill="1" applyBorder="1" applyAlignment="1">
      <alignment horizontal="left"/>
    </xf>
    <xf numFmtId="0" fontId="7" fillId="7" borderId="0" xfId="0" applyFont="1" applyFill="1" applyAlignment="1">
      <alignment horizontal="left"/>
    </xf>
    <xf numFmtId="0" fontId="41" fillId="0" borderId="20" xfId="0" applyFont="1" applyBorder="1" applyAlignment="1">
      <alignment horizontal="left" vertical="center" wrapText="1"/>
    </xf>
    <xf numFmtId="0" fontId="41" fillId="0" borderId="0" xfId="0" applyFont="1" applyAlignment="1">
      <alignment horizontal="left" vertical="center" wrapText="1"/>
    </xf>
    <xf numFmtId="0" fontId="41" fillId="0" borderId="12" xfId="0" applyFont="1" applyBorder="1" applyAlignment="1">
      <alignment horizontal="left" vertical="center" wrapText="1"/>
    </xf>
    <xf numFmtId="0" fontId="43" fillId="0" borderId="20" xfId="0" applyFont="1" applyBorder="1" applyAlignment="1">
      <alignment horizontal="left" vertical="center" wrapText="1"/>
    </xf>
    <xf numFmtId="0" fontId="43" fillId="0" borderId="0" xfId="0" applyFont="1" applyAlignment="1">
      <alignment horizontal="left" vertical="center" wrapText="1"/>
    </xf>
    <xf numFmtId="0" fontId="43" fillId="0" borderId="12" xfId="0" applyFont="1" applyBorder="1" applyAlignment="1">
      <alignment horizontal="left" vertical="center" wrapText="1"/>
    </xf>
    <xf numFmtId="0" fontId="1" fillId="0" borderId="20" xfId="0" applyFont="1" applyBorder="1" applyAlignment="1">
      <alignment horizontal="left" vertical="center" wrapText="1"/>
    </xf>
    <xf numFmtId="0" fontId="7" fillId="19" borderId="23" xfId="0" applyFont="1" applyFill="1" applyBorder="1" applyAlignment="1">
      <alignment horizontal="center"/>
    </xf>
    <xf numFmtId="0" fontId="7" fillId="4" borderId="34" xfId="0" applyFont="1" applyFill="1" applyBorder="1" applyAlignment="1">
      <alignment horizontal="center"/>
    </xf>
    <xf numFmtId="0" fontId="7" fillId="4" borderId="2" xfId="0" applyFont="1" applyFill="1" applyBorder="1" applyAlignment="1">
      <alignment horizontal="center"/>
    </xf>
    <xf numFmtId="199" fontId="0" fillId="19" borderId="1" xfId="0" applyNumberFormat="1" applyFill="1" applyBorder="1" applyAlignment="1">
      <alignment horizontal="center"/>
    </xf>
    <xf numFmtId="199" fontId="0" fillId="4" borderId="1" xfId="0" applyNumberFormat="1" applyFill="1" applyBorder="1" applyAlignment="1">
      <alignment horizontal="center"/>
    </xf>
    <xf numFmtId="196" fontId="0" fillId="19" borderId="1" xfId="0" applyNumberFormat="1" applyFill="1" applyBorder="1" applyAlignment="1">
      <alignment horizontal="center"/>
    </xf>
    <xf numFmtId="196" fontId="0" fillId="4" borderId="1" xfId="0" applyNumberFormat="1" applyFill="1" applyBorder="1" applyAlignment="1">
      <alignment horizontal="center"/>
    </xf>
    <xf numFmtId="0" fontId="43" fillId="8" borderId="15" xfId="0" applyFont="1" applyFill="1" applyBorder="1" applyAlignment="1">
      <alignment horizontal="center"/>
    </xf>
    <xf numFmtId="0" fontId="43" fillId="8" borderId="11" xfId="0" applyFont="1" applyFill="1" applyBorder="1" applyAlignment="1">
      <alignment horizontal="center"/>
    </xf>
    <xf numFmtId="0" fontId="0" fillId="19" borderId="16" xfId="0" applyFill="1" applyBorder="1" applyAlignment="1">
      <alignment horizontal="center"/>
    </xf>
    <xf numFmtId="0" fontId="0" fillId="4" borderId="11" xfId="0" applyFill="1" applyBorder="1" applyAlignment="1">
      <alignment horizontal="center"/>
    </xf>
    <xf numFmtId="0" fontId="1" fillId="19" borderId="16" xfId="0" applyFont="1" applyFill="1" applyBorder="1" applyAlignment="1">
      <alignment horizontal="center"/>
    </xf>
    <xf numFmtId="0" fontId="1" fillId="4" borderId="15" xfId="0" applyFont="1" applyFill="1" applyBorder="1" applyAlignment="1">
      <alignment horizontal="center"/>
    </xf>
    <xf numFmtId="0" fontId="1" fillId="4" borderId="11" xfId="0" applyFont="1" applyFill="1" applyBorder="1" applyAlignment="1">
      <alignment horizontal="center"/>
    </xf>
    <xf numFmtId="0" fontId="7" fillId="19" borderId="4"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0" xfId="0" applyFont="1" applyFill="1" applyBorder="1" applyAlignment="1">
      <alignment horizontal="center" vertical="center"/>
    </xf>
    <xf numFmtId="0" fontId="0" fillId="19" borderId="16" xfId="0" applyFill="1" applyBorder="1" applyAlignment="1">
      <alignment horizontal="left"/>
    </xf>
    <xf numFmtId="0" fontId="0" fillId="4" borderId="11" xfId="0" applyFill="1" applyBorder="1" applyAlignment="1">
      <alignment horizontal="left"/>
    </xf>
    <xf numFmtId="0" fontId="7" fillId="19" borderId="4" xfId="0" applyFont="1" applyFill="1" applyBorder="1" applyAlignment="1">
      <alignment horizontal="center"/>
    </xf>
    <xf numFmtId="0" fontId="7" fillId="4" borderId="3" xfId="0" applyFont="1" applyFill="1" applyBorder="1" applyAlignment="1">
      <alignment horizontal="center"/>
    </xf>
    <xf numFmtId="0" fontId="7" fillId="4" borderId="5" xfId="0" applyFont="1" applyFill="1" applyBorder="1" applyAlignment="1">
      <alignment horizontal="center"/>
    </xf>
    <xf numFmtId="0" fontId="7" fillId="4" borderId="13" xfId="0" applyFont="1" applyFill="1" applyBorder="1" applyAlignment="1">
      <alignment horizontal="center"/>
    </xf>
    <xf numFmtId="0" fontId="7" fillId="4" borderId="14" xfId="0" applyFont="1" applyFill="1" applyBorder="1" applyAlignment="1">
      <alignment horizontal="center"/>
    </xf>
    <xf numFmtId="0" fontId="7" fillId="4" borderId="10" xfId="0" applyFont="1" applyFill="1" applyBorder="1" applyAlignment="1">
      <alignment horizontal="center"/>
    </xf>
    <xf numFmtId="0" fontId="7" fillId="4" borderId="38" xfId="0" applyFont="1" applyFill="1" applyBorder="1" applyAlignment="1">
      <alignment horizontal="center" vertical="center"/>
    </xf>
    <xf numFmtId="0" fontId="7" fillId="4" borderId="37" xfId="0" applyFont="1" applyFill="1" applyBorder="1" applyAlignment="1">
      <alignment horizontal="center" vertical="center"/>
    </xf>
    <xf numFmtId="0" fontId="7" fillId="4" borderId="48" xfId="0" applyFont="1" applyFill="1" applyBorder="1" applyAlignment="1">
      <alignment horizontal="center" vertical="center"/>
    </xf>
  </cellXfs>
  <cellStyles count="1">
    <cellStyle name="Normal" xfId="0" builtinId="0"/>
  </cellStyles>
  <dxfs count="598">
    <dxf>
      <fill>
        <patternFill>
          <bgColor rgb="FF00B050"/>
        </patternFill>
      </fill>
    </dxf>
    <dxf>
      <fill>
        <patternFill>
          <bgColor rgb="FFFF0000"/>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2" tint="-0.2499465926084170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2" tint="-0.24994659260841701"/>
        </patternFill>
      </fill>
    </dxf>
    <dxf>
      <fill>
        <patternFill>
          <bgColor theme="1"/>
        </patternFill>
      </fill>
    </dxf>
    <dxf>
      <fill>
        <patternFill>
          <bgColor theme="1"/>
        </patternFill>
      </fill>
    </dxf>
    <dxf>
      <fill>
        <patternFill>
          <bgColor theme="1"/>
        </patternFill>
      </fill>
    </dxf>
    <dxf>
      <fill>
        <patternFill>
          <bgColor theme="2" tint="-0.2499465926084170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2" tint="-0.2499465926084170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2" tint="-0.2499465926084170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2"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theme="2" tint="-0.24994659260841701"/>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3" tint="0.79998168889431442"/>
        </patternFill>
      </fill>
    </dxf>
    <dxf>
      <fill>
        <patternFill>
          <bgColor theme="3" tint="0.79998168889431442"/>
        </patternFill>
      </fill>
    </dxf>
    <dxf>
      <fill>
        <patternFill>
          <bgColor rgb="FF00B050"/>
        </patternFill>
      </fill>
    </dxf>
    <dxf>
      <fill>
        <patternFill>
          <bgColor rgb="FFFF00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5"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3" tint="0.79998168889431442"/>
        </patternFill>
      </fill>
    </dxf>
    <dxf>
      <fill>
        <patternFill>
          <bgColor theme="3" tint="0.79998168889431442"/>
        </patternFill>
      </fill>
    </dxf>
    <dxf>
      <fill>
        <patternFill>
          <bgColor rgb="FF00B050"/>
        </patternFill>
      </fill>
    </dxf>
    <dxf>
      <fill>
        <patternFill>
          <bgColor rgb="FFFF00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9" tint="0.59996337778862885"/>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2" tint="-0.24994659260841701"/>
        </patternFill>
      </fill>
    </dxf>
    <dxf>
      <fill>
        <patternFill>
          <bgColor theme="2" tint="-0.499984740745262"/>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2" tint="-0.24994659260841701"/>
        </patternFill>
      </fill>
    </dxf>
  </dxfs>
  <tableStyles count="0" defaultTableStyle="TableStyleMedium2" defaultPivotStyle="PivotStyleLight16"/>
  <colors>
    <mruColors>
      <color rgb="FFCC9900"/>
      <color rgb="FF8D951F"/>
      <color rgb="FFD9C31D"/>
      <color rgb="FFCCCC00"/>
      <color rgb="FFD1C921"/>
      <color rgb="FFE3FE44"/>
      <color rgb="FFFCE7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da-DK" sz="2000" baseline="0"/>
              <a:t>Aktuelle ioner i opløsningen</a:t>
            </a:r>
            <a:endParaRPr lang="da-DK" sz="2000"/>
          </a:p>
        </c:rich>
      </c:tx>
      <c:layout>
        <c:manualLayout>
          <c:xMode val="edge"/>
          <c:yMode val="edge"/>
          <c:x val="0.23539599867827338"/>
          <c:y val="4.9470784466970471E-3"/>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manualLayout>
          <c:layoutTarget val="inner"/>
          <c:xMode val="edge"/>
          <c:yMode val="edge"/>
          <c:x val="0.1418248184895711"/>
          <c:y val="0.10591966876065395"/>
          <c:w val="0.76458805129387519"/>
          <c:h val="0.69700564219872496"/>
        </c:manualLayout>
      </c:layout>
      <c:barChart>
        <c:barDir val="col"/>
        <c:grouping val="clustered"/>
        <c:varyColors val="0"/>
        <c:ser>
          <c:idx val="0"/>
          <c:order val="0"/>
          <c:tx>
            <c:v>n(Cl⁻)</c:v>
          </c:tx>
          <c:spPr>
            <a:solidFill>
              <a:schemeClr val="bg1">
                <a:lumMod val="75000"/>
              </a:schemeClr>
            </a:solidFill>
            <a:ln>
              <a:solidFill>
                <a:schemeClr val="tx1"/>
              </a:solidFill>
            </a:ln>
            <a:effectLst/>
          </c:spPr>
          <c:invertIfNegative val="0"/>
          <c:dLbls>
            <c:delete val="1"/>
          </c:dLbls>
          <c:cat>
            <c:numLit>
              <c:formatCode>General</c:formatCode>
              <c:ptCount val="1"/>
              <c:pt idx="0">
                <c:v>1</c:v>
              </c:pt>
            </c:numLit>
          </c:cat>
          <c:val>
            <c:numRef>
              <c:f>'5.2 Mohr-Titrering'!$F$28:$G$28</c:f>
              <c:numCache>
                <c:formatCode>0.000" mmol"</c:formatCode>
                <c:ptCount val="2"/>
                <c:pt idx="0">
                  <c:v>1.9275</c:v>
                </c:pt>
              </c:numCache>
            </c:numRef>
          </c:val>
          <c:extLst>
            <c:ext xmlns:c16="http://schemas.microsoft.com/office/drawing/2014/chart" uri="{C3380CC4-5D6E-409C-BE32-E72D297353CC}">
              <c16:uniqueId val="{00000000-4D21-4D6F-8C4A-629860455CE4}"/>
            </c:ext>
          </c:extLst>
        </c:ser>
        <c:ser>
          <c:idx val="4"/>
          <c:order val="1"/>
          <c:tx>
            <c:v>n(AgCl)</c:v>
          </c:tx>
          <c:spPr>
            <a:solidFill>
              <a:schemeClr val="bg1">
                <a:lumMod val="50000"/>
              </a:schemeClr>
            </a:solidFill>
            <a:ln>
              <a:noFill/>
            </a:ln>
            <a:effectLst/>
          </c:spPr>
          <c:invertIfNegative val="0"/>
          <c:dLbls>
            <c:delete val="1"/>
          </c:dLbls>
          <c:val>
            <c:numRef>
              <c:f>'5.2 Mohr-Titrering'!$H$28</c:f>
              <c:numCache>
                <c:formatCode>0.000" mmol"</c:formatCode>
                <c:ptCount val="1"/>
                <c:pt idx="0">
                  <c:v>0</c:v>
                </c:pt>
              </c:numCache>
            </c:numRef>
          </c:val>
          <c:extLst>
            <c:ext xmlns:c16="http://schemas.microsoft.com/office/drawing/2014/chart" uri="{C3380CC4-5D6E-409C-BE32-E72D297353CC}">
              <c16:uniqueId val="{00000006-4D21-4D6F-8C4A-629860455CE4}"/>
            </c:ext>
          </c:extLst>
        </c:ser>
        <c:ser>
          <c:idx val="2"/>
          <c:order val="2"/>
          <c:tx>
            <c:v>n(CrO₄²⁻)</c:v>
          </c:tx>
          <c:spPr>
            <a:solidFill>
              <a:srgbClr val="E3FE44"/>
            </a:solidFill>
            <a:ln>
              <a:noFill/>
            </a:ln>
            <a:effectLst/>
          </c:spPr>
          <c:invertIfNegative val="0"/>
          <c:dLbls>
            <c:delete val="1"/>
          </c:dLbls>
          <c:val>
            <c:numRef>
              <c:f>'5.2 Mohr-Titrering'!$F$32:$G$32</c:f>
              <c:numCache>
                <c:formatCode>0.000" mmol"</c:formatCode>
                <c:ptCount val="2"/>
                <c:pt idx="0">
                  <c:v>0.2</c:v>
                </c:pt>
              </c:numCache>
            </c:numRef>
          </c:val>
          <c:extLst>
            <c:ext xmlns:c16="http://schemas.microsoft.com/office/drawing/2014/chart" uri="{C3380CC4-5D6E-409C-BE32-E72D297353CC}">
              <c16:uniqueId val="{00000004-4D21-4D6F-8C4A-629860455CE4}"/>
            </c:ext>
          </c:extLst>
        </c:ser>
        <c:ser>
          <c:idx val="3"/>
          <c:order val="3"/>
          <c:tx>
            <c:v>n(Ag₂CrO₄)</c:v>
          </c:tx>
          <c:spPr>
            <a:solidFill>
              <a:srgbClr val="C00000"/>
            </a:solidFill>
            <a:ln>
              <a:noFill/>
            </a:ln>
            <a:effectLst/>
          </c:spPr>
          <c:invertIfNegative val="0"/>
          <c:dLbls>
            <c:delete val="1"/>
          </c:dLbls>
          <c:val>
            <c:numRef>
              <c:f>'5.2 Mohr-Titrering'!$H$32</c:f>
              <c:numCache>
                <c:formatCode>0.000" mmol"</c:formatCode>
                <c:ptCount val="1"/>
                <c:pt idx="0">
                  <c:v>0</c:v>
                </c:pt>
              </c:numCache>
            </c:numRef>
          </c:val>
          <c:extLst>
            <c:ext xmlns:c16="http://schemas.microsoft.com/office/drawing/2014/chart" uri="{C3380CC4-5D6E-409C-BE32-E72D297353CC}">
              <c16:uniqueId val="{00000005-4D21-4D6F-8C4A-629860455CE4}"/>
            </c:ext>
          </c:extLst>
        </c:ser>
        <c:dLbls>
          <c:showLegendKey val="0"/>
          <c:showVal val="1"/>
          <c:showCatName val="0"/>
          <c:showSerName val="0"/>
          <c:showPercent val="0"/>
          <c:showBubbleSize val="0"/>
        </c:dLbls>
        <c:gapWidth val="75"/>
        <c:axId val="534813856"/>
        <c:axId val="534824256"/>
      </c:barChart>
      <c:catAx>
        <c:axId val="534813856"/>
        <c:scaling>
          <c:orientation val="minMax"/>
        </c:scaling>
        <c:delete val="1"/>
        <c:axPos val="b"/>
        <c:numFmt formatCode="General" sourceLinked="1"/>
        <c:majorTickMark val="none"/>
        <c:minorTickMark val="none"/>
        <c:tickLblPos val="nextTo"/>
        <c:crossAx val="534824256"/>
        <c:crosses val="autoZero"/>
        <c:auto val="1"/>
        <c:lblAlgn val="ctr"/>
        <c:lblOffset val="100"/>
        <c:noMultiLvlLbl val="0"/>
      </c:catAx>
      <c:valAx>
        <c:axId val="534824256"/>
        <c:scaling>
          <c:orientation val="minMax"/>
          <c:max val="2"/>
        </c:scaling>
        <c:delete val="0"/>
        <c:axPos val="l"/>
        <c:numFmt formatCode="0.0&quot; mmol&quot;"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da-DK"/>
          </a:p>
        </c:txPr>
        <c:crossAx val="534813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5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image" Target="../media/image9.png"/><Relationship Id="rId18" Type="http://schemas.openxmlformats.org/officeDocument/2006/relationships/hyperlink" Target="#'6.1 Substitution i benzin'!A1"/><Relationship Id="rId26" Type="http://schemas.openxmlformats.org/officeDocument/2006/relationships/image" Target="../media/image14.svg"/><Relationship Id="rId21" Type="http://schemas.openxmlformats.org/officeDocument/2006/relationships/hyperlink" Target="#'8.2 Redoxreaktioner'!A1"/><Relationship Id="rId34" Type="http://schemas.openxmlformats.org/officeDocument/2006/relationships/image" Target="../media/image20.svg"/><Relationship Id="rId7" Type="http://schemas.openxmlformats.org/officeDocument/2006/relationships/image" Target="../media/image4.svg"/><Relationship Id="rId12" Type="http://schemas.openxmlformats.org/officeDocument/2006/relationships/image" Target="../media/image8.svg"/><Relationship Id="rId17" Type="http://schemas.openxmlformats.org/officeDocument/2006/relationships/hyperlink" Target="#'5.1 Stofm&#230;ngdekoncentration'!A1"/><Relationship Id="rId25" Type="http://schemas.openxmlformats.org/officeDocument/2006/relationships/image" Target="../media/image13.png"/><Relationship Id="rId33" Type="http://schemas.openxmlformats.org/officeDocument/2006/relationships/image" Target="../media/image19.png"/><Relationship Id="rId38" Type="http://schemas.openxmlformats.org/officeDocument/2006/relationships/image" Target="../media/image22.svg"/><Relationship Id="rId2" Type="http://schemas.openxmlformats.org/officeDocument/2006/relationships/hyperlink" Target="#'1.2 Afstem reaktionsskemaer'!A1"/><Relationship Id="rId16" Type="http://schemas.openxmlformats.org/officeDocument/2006/relationships/hyperlink" Target="#'4.2 M&#230;ngdeberegningsskema'!A1"/><Relationship Id="rId20" Type="http://schemas.openxmlformats.org/officeDocument/2006/relationships/hyperlink" Target="#'8.1 Oxidationstal'!A1"/><Relationship Id="rId29" Type="http://schemas.openxmlformats.org/officeDocument/2006/relationships/image" Target="../media/image15.png"/><Relationship Id="rId1" Type="http://schemas.openxmlformats.org/officeDocument/2006/relationships/hyperlink" Target="#'1.1 Atomet og Elektronstruktur'!A1"/><Relationship Id="rId6" Type="http://schemas.openxmlformats.org/officeDocument/2006/relationships/image" Target="../media/image3.png"/><Relationship Id="rId11" Type="http://schemas.openxmlformats.org/officeDocument/2006/relationships/image" Target="../media/image7.png"/><Relationship Id="rId24" Type="http://schemas.openxmlformats.org/officeDocument/2006/relationships/image" Target="../media/image12.svg"/><Relationship Id="rId32" Type="http://schemas.openxmlformats.org/officeDocument/2006/relationships/image" Target="../media/image18.svg"/><Relationship Id="rId37" Type="http://schemas.openxmlformats.org/officeDocument/2006/relationships/image" Target="../media/image21.png"/><Relationship Id="rId5" Type="http://schemas.openxmlformats.org/officeDocument/2006/relationships/image" Target="../media/image2.svg"/><Relationship Id="rId15" Type="http://schemas.openxmlformats.org/officeDocument/2006/relationships/hyperlink" Target="#'4.1 Betydende cifre'!A1"/><Relationship Id="rId23" Type="http://schemas.openxmlformats.org/officeDocument/2006/relationships/image" Target="../media/image11.png"/><Relationship Id="rId28" Type="http://schemas.openxmlformats.org/officeDocument/2006/relationships/hyperlink" Target="#'7.2 pH-beregninger'!A1"/><Relationship Id="rId36" Type="http://schemas.openxmlformats.org/officeDocument/2006/relationships/hyperlink" Target="#'5.2 Mohr-Titrering'!A1"/><Relationship Id="rId10" Type="http://schemas.openxmlformats.org/officeDocument/2006/relationships/image" Target="../media/image6.svg"/><Relationship Id="rId19" Type="http://schemas.openxmlformats.org/officeDocument/2006/relationships/hyperlink" Target="#'7.1 SyreBase Kemi'!A1"/><Relationship Id="rId31" Type="http://schemas.openxmlformats.org/officeDocument/2006/relationships/image" Target="../media/image17.png"/><Relationship Id="rId4" Type="http://schemas.openxmlformats.org/officeDocument/2006/relationships/image" Target="../media/image1.png"/><Relationship Id="rId9" Type="http://schemas.openxmlformats.org/officeDocument/2006/relationships/image" Target="../media/image5.png"/><Relationship Id="rId14" Type="http://schemas.openxmlformats.org/officeDocument/2006/relationships/image" Target="../media/image10.svg"/><Relationship Id="rId22" Type="http://schemas.openxmlformats.org/officeDocument/2006/relationships/hyperlink" Target="#'Fagordsquiz for Kemi C'!A1"/><Relationship Id="rId27" Type="http://schemas.openxmlformats.org/officeDocument/2006/relationships/hyperlink" Target="#'2.2 F&#230;ldningsreaktioner'!A1"/><Relationship Id="rId30" Type="http://schemas.openxmlformats.org/officeDocument/2006/relationships/image" Target="../media/image16.svg"/><Relationship Id="rId35" Type="http://schemas.openxmlformats.org/officeDocument/2006/relationships/hyperlink" Target="#'4.3 M&#230;ngdeberegningsskema'!A1"/><Relationship Id="rId8" Type="http://schemas.openxmlformats.org/officeDocument/2006/relationships/hyperlink" Target="#'2.1 Ioner og navne'!A1"/><Relationship Id="rId3" Type="http://schemas.openxmlformats.org/officeDocument/2006/relationships/hyperlink" Target="#'3 Molekyler og polaritet'!A1"/></Relationships>
</file>

<file path=xl/drawings/_rels/drawing10.xml.rels><?xml version="1.0" encoding="UTF-8" standalone="yes"?>
<Relationships xmlns="http://schemas.openxmlformats.org/package/2006/relationships"><Relationship Id="rId1" Type="http://schemas.openxmlformats.org/officeDocument/2006/relationships/hyperlink" Target="#Forside!A1"/></Relationships>
</file>

<file path=xl/drawings/_rels/drawing1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31.png"/><Relationship Id="rId1" Type="http://schemas.openxmlformats.org/officeDocument/2006/relationships/hyperlink" Target="#Forside!A1"/><Relationship Id="rId4"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33.png"/><Relationship Id="rId2" Type="http://schemas.openxmlformats.org/officeDocument/2006/relationships/image" Target="../media/image32.png"/><Relationship Id="rId1" Type="http://schemas.openxmlformats.org/officeDocument/2006/relationships/hyperlink" Target="#Forside!A1"/><Relationship Id="rId6" Type="http://schemas.openxmlformats.org/officeDocument/2006/relationships/image" Target="../media/image36.png"/><Relationship Id="rId5" Type="http://schemas.openxmlformats.org/officeDocument/2006/relationships/image" Target="../media/image35.png"/><Relationship Id="rId4" Type="http://schemas.openxmlformats.org/officeDocument/2006/relationships/image" Target="../media/image34.png"/></Relationships>
</file>

<file path=xl/drawings/_rels/drawing13.xml.rels><?xml version="1.0" encoding="UTF-8" standalone="yes"?>
<Relationships xmlns="http://schemas.openxmlformats.org/package/2006/relationships"><Relationship Id="rId1" Type="http://schemas.openxmlformats.org/officeDocument/2006/relationships/hyperlink" Target="#Forside!A1"/></Relationships>
</file>

<file path=xl/drawings/_rels/drawing14.xml.rels><?xml version="1.0" encoding="UTF-8" standalone="yes"?>
<Relationships xmlns="http://schemas.openxmlformats.org/package/2006/relationships"><Relationship Id="rId1" Type="http://schemas.openxmlformats.org/officeDocument/2006/relationships/hyperlink" Target="#Forside!A1"/></Relationships>
</file>

<file path=xl/drawings/_rels/drawing15.xml.rels><?xml version="1.0" encoding="UTF-8" standalone="yes"?>
<Relationships xmlns="http://schemas.openxmlformats.org/package/2006/relationships"><Relationship Id="rId1" Type="http://schemas.openxmlformats.org/officeDocument/2006/relationships/hyperlink" Target="#Forside!A1"/></Relationships>
</file>

<file path=xl/drawings/_rels/drawing16.xml.rels><?xml version="1.0" encoding="UTF-8" standalone="yes"?>
<Relationships xmlns="http://schemas.openxmlformats.org/package/2006/relationships"><Relationship Id="rId1" Type="http://schemas.openxmlformats.org/officeDocument/2006/relationships/hyperlink" Target="#Forside!A1"/></Relationships>
</file>

<file path=xl/drawings/_rels/drawing17.xml.rels><?xml version="1.0" encoding="UTF-8" standalone="yes"?>
<Relationships xmlns="http://schemas.openxmlformats.org/package/2006/relationships"><Relationship Id="rId1" Type="http://schemas.openxmlformats.org/officeDocument/2006/relationships/hyperlink" Target="#Forside!A1"/></Relationships>
</file>

<file path=xl/drawings/_rels/drawing2.xml.rels><?xml version="1.0" encoding="UTF-8" standalone="yes"?>
<Relationships xmlns="http://schemas.openxmlformats.org/package/2006/relationships"><Relationship Id="rId1" Type="http://schemas.openxmlformats.org/officeDocument/2006/relationships/hyperlink" Target="#Forside!A1"/></Relationships>
</file>

<file path=xl/drawings/_rels/drawing3.xml.rels><?xml version="1.0" encoding="UTF-8" standalone="yes"?>
<Relationships xmlns="http://schemas.openxmlformats.org/package/2006/relationships"><Relationship Id="rId1" Type="http://schemas.openxmlformats.org/officeDocument/2006/relationships/hyperlink" Target="#Forside!A1"/></Relationships>
</file>

<file path=xl/drawings/_rels/drawing4.xml.rels><?xml version="1.0" encoding="UTF-8" standalone="yes"?>
<Relationships xmlns="http://schemas.openxmlformats.org/package/2006/relationships"><Relationship Id="rId1" Type="http://schemas.openxmlformats.org/officeDocument/2006/relationships/hyperlink" Target="#Forside!A1"/></Relationships>
</file>

<file path=xl/drawings/_rels/drawing5.xml.rels><?xml version="1.0" encoding="UTF-8" standalone="yes"?>
<Relationships xmlns="http://schemas.openxmlformats.org/package/2006/relationships"><Relationship Id="rId1" Type="http://schemas.openxmlformats.org/officeDocument/2006/relationships/hyperlink" Target="#Forside!A1"/></Relationships>
</file>

<file path=xl/drawings/_rels/drawing6.xml.rels><?xml version="1.0" encoding="UTF-8" standalone="yes"?>
<Relationships xmlns="http://schemas.openxmlformats.org/package/2006/relationships"><Relationship Id="rId8" Type="http://schemas.openxmlformats.org/officeDocument/2006/relationships/image" Target="../media/image29.png"/><Relationship Id="rId3" Type="http://schemas.openxmlformats.org/officeDocument/2006/relationships/image" Target="../media/image24.png"/><Relationship Id="rId7" Type="http://schemas.openxmlformats.org/officeDocument/2006/relationships/image" Target="../media/image28.png"/><Relationship Id="rId2" Type="http://schemas.openxmlformats.org/officeDocument/2006/relationships/image" Target="../media/image23.png"/><Relationship Id="rId1" Type="http://schemas.openxmlformats.org/officeDocument/2006/relationships/hyperlink" Target="#Forside!A1"/><Relationship Id="rId6" Type="http://schemas.openxmlformats.org/officeDocument/2006/relationships/image" Target="../media/image27.png"/><Relationship Id="rId5" Type="http://schemas.openxmlformats.org/officeDocument/2006/relationships/image" Target="../media/image26.png"/><Relationship Id="rId4" Type="http://schemas.openxmlformats.org/officeDocument/2006/relationships/image" Target="../media/image25.png"/><Relationship Id="rId9" Type="http://schemas.openxmlformats.org/officeDocument/2006/relationships/image" Target="../media/image30.png"/></Relationships>
</file>

<file path=xl/drawings/_rels/drawing7.xml.rels><?xml version="1.0" encoding="UTF-8" standalone="yes"?>
<Relationships xmlns="http://schemas.openxmlformats.org/package/2006/relationships"><Relationship Id="rId1" Type="http://schemas.openxmlformats.org/officeDocument/2006/relationships/hyperlink" Target="#Forside!A1"/></Relationships>
</file>

<file path=xl/drawings/_rels/drawing8.xml.rels><?xml version="1.0" encoding="UTF-8" standalone="yes"?>
<Relationships xmlns="http://schemas.openxmlformats.org/package/2006/relationships"><Relationship Id="rId1" Type="http://schemas.openxmlformats.org/officeDocument/2006/relationships/hyperlink" Target="#Forside!A1"/></Relationships>
</file>

<file path=xl/drawings/_rels/drawing9.xml.rels><?xml version="1.0" encoding="UTF-8" standalone="yes"?>
<Relationships xmlns="http://schemas.openxmlformats.org/package/2006/relationships"><Relationship Id="rId1" Type="http://schemas.openxmlformats.org/officeDocument/2006/relationships/hyperlink" Target="#Forside!A1"/></Relationships>
</file>

<file path=xl/drawings/drawing1.xml><?xml version="1.0" encoding="utf-8"?>
<xdr:wsDr xmlns:xdr="http://schemas.openxmlformats.org/drawingml/2006/spreadsheetDrawing" xmlns:a="http://schemas.openxmlformats.org/drawingml/2006/main">
  <xdr:twoCellAnchor>
    <xdr:from>
      <xdr:col>0</xdr:col>
      <xdr:colOff>19706</xdr:colOff>
      <xdr:row>0</xdr:row>
      <xdr:rowOff>26276</xdr:rowOff>
    </xdr:from>
    <xdr:to>
      <xdr:col>18</xdr:col>
      <xdr:colOff>424962</xdr:colOff>
      <xdr:row>7</xdr:row>
      <xdr:rowOff>168519</xdr:rowOff>
    </xdr:to>
    <xdr:sp macro="" textlink="">
      <xdr:nvSpPr>
        <xdr:cNvPr id="4" name="Rectangle 3">
          <a:extLst>
            <a:ext uri="{FF2B5EF4-FFF2-40B4-BE49-F238E27FC236}">
              <a16:creationId xmlns:a16="http://schemas.microsoft.com/office/drawing/2014/main" id="{AE87E6B6-4CE1-FC25-0E1C-9B11BA5C7062}"/>
            </a:ext>
          </a:extLst>
        </xdr:cNvPr>
        <xdr:cNvSpPr/>
      </xdr:nvSpPr>
      <xdr:spPr>
        <a:xfrm>
          <a:off x="19706" y="26276"/>
          <a:ext cx="12251975" cy="1475743"/>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0</xdr:col>
      <xdr:colOff>262759</xdr:colOff>
      <xdr:row>0</xdr:row>
      <xdr:rowOff>70945</xdr:rowOff>
    </xdr:from>
    <xdr:to>
      <xdr:col>1</xdr:col>
      <xdr:colOff>3038</xdr:colOff>
      <xdr:row>2</xdr:row>
      <xdr:rowOff>57807</xdr:rowOff>
    </xdr:to>
    <xdr:sp macro="" textlink="">
      <xdr:nvSpPr>
        <xdr:cNvPr id="5" name="TextBox 4">
          <a:hlinkClick xmlns:r="http://schemas.openxmlformats.org/officeDocument/2006/relationships" r:id="rId1" tooltip="1.1 Atomet og Elektronstruktur"/>
          <a:extLst>
            <a:ext uri="{FF2B5EF4-FFF2-40B4-BE49-F238E27FC236}">
              <a16:creationId xmlns:a16="http://schemas.microsoft.com/office/drawing/2014/main" id="{23B195AD-114D-D41E-07C2-8F1375D4EEFB}"/>
            </a:ext>
          </a:extLst>
        </xdr:cNvPr>
        <xdr:cNvSpPr txBox="1"/>
      </xdr:nvSpPr>
      <xdr:spPr>
        <a:xfrm>
          <a:off x="262759" y="70945"/>
          <a:ext cx="1264279"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1.1 Atomet</a:t>
          </a:r>
          <a:r>
            <a:rPr lang="da-DK" sz="800" baseline="0">
              <a:solidFill>
                <a:schemeClr val="bg1"/>
              </a:solidFill>
              <a:latin typeface="Avenir Next LT Pro" panose="020B0504020202020204" pitchFamily="34" charset="0"/>
            </a:rPr>
            <a:t> og elektronstruktur</a:t>
          </a:r>
          <a:endParaRPr lang="da-DK" sz="800">
            <a:solidFill>
              <a:schemeClr val="bg1"/>
            </a:solidFill>
            <a:latin typeface="Avenir Next LT Pro" panose="020B0504020202020204" pitchFamily="34" charset="0"/>
          </a:endParaRPr>
        </a:p>
      </xdr:txBody>
    </xdr:sp>
    <xdr:clientData/>
  </xdr:twoCellAnchor>
  <xdr:twoCellAnchor>
    <xdr:from>
      <xdr:col>0</xdr:col>
      <xdr:colOff>262759</xdr:colOff>
      <xdr:row>2</xdr:row>
      <xdr:rowOff>173421</xdr:rowOff>
    </xdr:from>
    <xdr:to>
      <xdr:col>1</xdr:col>
      <xdr:colOff>3038</xdr:colOff>
      <xdr:row>4</xdr:row>
      <xdr:rowOff>160283</xdr:rowOff>
    </xdr:to>
    <xdr:sp macro="" textlink="">
      <xdr:nvSpPr>
        <xdr:cNvPr id="6" name="TextBox 5">
          <a:hlinkClick xmlns:r="http://schemas.openxmlformats.org/officeDocument/2006/relationships" r:id="rId2"/>
          <a:extLst>
            <a:ext uri="{FF2B5EF4-FFF2-40B4-BE49-F238E27FC236}">
              <a16:creationId xmlns:a16="http://schemas.microsoft.com/office/drawing/2014/main" id="{F87A5E6D-E6C2-4B64-AFE0-57CF081BA91F}"/>
            </a:ext>
          </a:extLst>
        </xdr:cNvPr>
        <xdr:cNvSpPr txBox="1"/>
      </xdr:nvSpPr>
      <xdr:spPr>
        <a:xfrm>
          <a:off x="262759" y="554421"/>
          <a:ext cx="1264279"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baseline="0">
              <a:solidFill>
                <a:schemeClr val="bg1"/>
              </a:solidFill>
              <a:latin typeface="Avenir Next LT Pro" panose="020B0504020202020204" pitchFamily="34" charset="0"/>
              <a:ea typeface="+mn-ea"/>
              <a:cs typeface="+mn-cs"/>
            </a:rPr>
            <a:t>1.2 Afstemning af reaktionsskemaer</a:t>
          </a:r>
        </a:p>
      </xdr:txBody>
    </xdr:sp>
    <xdr:clientData/>
  </xdr:twoCellAnchor>
  <xdr:twoCellAnchor>
    <xdr:from>
      <xdr:col>3</xdr:col>
      <xdr:colOff>311931</xdr:colOff>
      <xdr:row>0</xdr:row>
      <xdr:rowOff>70945</xdr:rowOff>
    </xdr:from>
    <xdr:to>
      <xdr:col>5</xdr:col>
      <xdr:colOff>180552</xdr:colOff>
      <xdr:row>2</xdr:row>
      <xdr:rowOff>57807</xdr:rowOff>
    </xdr:to>
    <xdr:sp macro="" textlink="">
      <xdr:nvSpPr>
        <xdr:cNvPr id="8" name="TextBox 7">
          <a:hlinkClick xmlns:r="http://schemas.openxmlformats.org/officeDocument/2006/relationships" r:id="rId3"/>
          <a:extLst>
            <a:ext uri="{FF2B5EF4-FFF2-40B4-BE49-F238E27FC236}">
              <a16:creationId xmlns:a16="http://schemas.microsoft.com/office/drawing/2014/main" id="{66CE03CB-871A-F529-E64A-BA42B1F960E9}"/>
            </a:ext>
          </a:extLst>
        </xdr:cNvPr>
        <xdr:cNvSpPr txBox="1"/>
      </xdr:nvSpPr>
      <xdr:spPr>
        <a:xfrm>
          <a:off x="3050369" y="70945"/>
          <a:ext cx="1083058"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da-DK" sz="800">
              <a:solidFill>
                <a:schemeClr val="bg1"/>
              </a:solidFill>
              <a:latin typeface="Avenir Next LT Pro" panose="020B0504020202020204" pitchFamily="34" charset="0"/>
              <a:ea typeface="+mn-ea"/>
              <a:cs typeface="+mn-cs"/>
            </a:rPr>
            <a:t>3.1 Molekyler og polaritet</a:t>
          </a:r>
        </a:p>
      </xdr:txBody>
    </xdr:sp>
    <xdr:clientData/>
  </xdr:twoCellAnchor>
  <xdr:twoCellAnchor editAs="oneCell">
    <xdr:from>
      <xdr:col>0</xdr:col>
      <xdr:colOff>154043</xdr:colOff>
      <xdr:row>0</xdr:row>
      <xdr:rowOff>91536</xdr:rowOff>
    </xdr:from>
    <xdr:to>
      <xdr:col>0</xdr:col>
      <xdr:colOff>351112</xdr:colOff>
      <xdr:row>1</xdr:row>
      <xdr:rowOff>98105</xdr:rowOff>
    </xdr:to>
    <xdr:pic>
      <xdr:nvPicPr>
        <xdr:cNvPr id="16" name="Graphic 15" descr="Atom with solid fill">
          <a:extLst>
            <a:ext uri="{FF2B5EF4-FFF2-40B4-BE49-F238E27FC236}">
              <a16:creationId xmlns:a16="http://schemas.microsoft.com/office/drawing/2014/main" id="{A56D39C9-3133-7E5D-5845-FF376F37CB5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54043" y="91536"/>
          <a:ext cx="197069" cy="197069"/>
        </a:xfrm>
        <a:prstGeom prst="rect">
          <a:avLst/>
        </a:prstGeom>
      </xdr:spPr>
    </xdr:pic>
    <xdr:clientData/>
  </xdr:twoCellAnchor>
  <xdr:twoCellAnchor editAs="oneCell">
    <xdr:from>
      <xdr:col>0</xdr:col>
      <xdr:colOff>131380</xdr:colOff>
      <xdr:row>3</xdr:row>
      <xdr:rowOff>32844</xdr:rowOff>
    </xdr:from>
    <xdr:to>
      <xdr:col>0</xdr:col>
      <xdr:colOff>349470</xdr:colOff>
      <xdr:row>4</xdr:row>
      <xdr:rowOff>60434</xdr:rowOff>
    </xdr:to>
    <xdr:pic>
      <xdr:nvPicPr>
        <xdr:cNvPr id="18" name="Graphic 17" descr="Clipboard Checked with solid fill">
          <a:extLst>
            <a:ext uri="{FF2B5EF4-FFF2-40B4-BE49-F238E27FC236}">
              <a16:creationId xmlns:a16="http://schemas.microsoft.com/office/drawing/2014/main" id="{BA969C08-868D-2555-D17A-FC6A604BEF6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131380" y="604344"/>
          <a:ext cx="218090" cy="218090"/>
        </a:xfrm>
        <a:prstGeom prst="rect">
          <a:avLst/>
        </a:prstGeom>
      </xdr:spPr>
    </xdr:pic>
    <xdr:clientData/>
  </xdr:twoCellAnchor>
  <xdr:twoCellAnchor>
    <xdr:from>
      <xdr:col>1</xdr:col>
      <xdr:colOff>136259</xdr:colOff>
      <xdr:row>0</xdr:row>
      <xdr:rowOff>70945</xdr:rowOff>
    </xdr:from>
    <xdr:to>
      <xdr:col>3</xdr:col>
      <xdr:colOff>4879</xdr:colOff>
      <xdr:row>2</xdr:row>
      <xdr:rowOff>57807</xdr:rowOff>
    </xdr:to>
    <xdr:sp macro="" textlink="">
      <xdr:nvSpPr>
        <xdr:cNvPr id="19" name="TextBox 18">
          <a:hlinkClick xmlns:r="http://schemas.openxmlformats.org/officeDocument/2006/relationships" r:id="rId8"/>
          <a:extLst>
            <a:ext uri="{FF2B5EF4-FFF2-40B4-BE49-F238E27FC236}">
              <a16:creationId xmlns:a16="http://schemas.microsoft.com/office/drawing/2014/main" id="{9B01B4D0-E170-4540-9D11-65BAE945069F}"/>
            </a:ext>
          </a:extLst>
        </xdr:cNvPr>
        <xdr:cNvSpPr txBox="1"/>
      </xdr:nvSpPr>
      <xdr:spPr>
        <a:xfrm>
          <a:off x="1660259" y="70945"/>
          <a:ext cx="1083058"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2.1 Navngivning</a:t>
          </a:r>
          <a:r>
            <a:rPr lang="da-DK" sz="800" baseline="0">
              <a:solidFill>
                <a:schemeClr val="bg1"/>
              </a:solidFill>
              <a:latin typeface="Avenir Next LT Pro" panose="020B0504020202020204" pitchFamily="34" charset="0"/>
            </a:rPr>
            <a:t> af ionforbindelser</a:t>
          </a:r>
          <a:endParaRPr lang="da-DK" sz="800">
            <a:solidFill>
              <a:schemeClr val="bg1"/>
            </a:solidFill>
            <a:latin typeface="Avenir Next LT Pro" panose="020B0504020202020204" pitchFamily="34" charset="0"/>
          </a:endParaRPr>
        </a:p>
      </xdr:txBody>
    </xdr:sp>
    <xdr:clientData/>
  </xdr:twoCellAnchor>
  <xdr:twoCellAnchor editAs="oneCell">
    <xdr:from>
      <xdr:col>12</xdr:col>
      <xdr:colOff>177361</xdr:colOff>
      <xdr:row>0</xdr:row>
      <xdr:rowOff>55406</xdr:rowOff>
    </xdr:from>
    <xdr:to>
      <xdr:col>12</xdr:col>
      <xdr:colOff>446689</xdr:colOff>
      <xdr:row>1</xdr:row>
      <xdr:rowOff>134234</xdr:rowOff>
    </xdr:to>
    <xdr:pic>
      <xdr:nvPicPr>
        <xdr:cNvPr id="22" name="Graphic 21" descr="Beaker outline">
          <a:extLst>
            <a:ext uri="{FF2B5EF4-FFF2-40B4-BE49-F238E27FC236}">
              <a16:creationId xmlns:a16="http://schemas.microsoft.com/office/drawing/2014/main" id="{ABF72197-B68A-7618-7500-45FE180A83F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8380767" y="55406"/>
          <a:ext cx="269328" cy="269328"/>
        </a:xfrm>
        <a:prstGeom prst="rect">
          <a:avLst/>
        </a:prstGeom>
      </xdr:spPr>
    </xdr:pic>
    <xdr:clientData/>
  </xdr:twoCellAnchor>
  <xdr:twoCellAnchor editAs="oneCell">
    <xdr:from>
      <xdr:col>5</xdr:col>
      <xdr:colOff>295603</xdr:colOff>
      <xdr:row>0</xdr:row>
      <xdr:rowOff>74457</xdr:rowOff>
    </xdr:from>
    <xdr:to>
      <xdr:col>5</xdr:col>
      <xdr:colOff>526830</xdr:colOff>
      <xdr:row>1</xdr:row>
      <xdr:rowOff>115184</xdr:rowOff>
    </xdr:to>
    <xdr:pic>
      <xdr:nvPicPr>
        <xdr:cNvPr id="24" name="Graphic 23" descr="Calculator outline">
          <a:extLst>
            <a:ext uri="{FF2B5EF4-FFF2-40B4-BE49-F238E27FC236}">
              <a16:creationId xmlns:a16="http://schemas.microsoft.com/office/drawing/2014/main" id="{5F3C6D1F-2C47-3C6A-DAC7-323E87BC554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4248478" y="74457"/>
          <a:ext cx="231227" cy="231227"/>
        </a:xfrm>
        <a:prstGeom prst="rect">
          <a:avLst/>
        </a:prstGeom>
      </xdr:spPr>
    </xdr:pic>
    <xdr:clientData/>
  </xdr:twoCellAnchor>
  <xdr:twoCellAnchor editAs="oneCell">
    <xdr:from>
      <xdr:col>7</xdr:col>
      <xdr:colOff>497928</xdr:colOff>
      <xdr:row>0</xdr:row>
      <xdr:rowOff>81026</xdr:rowOff>
    </xdr:from>
    <xdr:to>
      <xdr:col>8</xdr:col>
      <xdr:colOff>105103</xdr:colOff>
      <xdr:row>1</xdr:row>
      <xdr:rowOff>108615</xdr:rowOff>
    </xdr:to>
    <xdr:pic>
      <xdr:nvPicPr>
        <xdr:cNvPr id="26" name="Graphic 25" descr="Water Bottle with solid fill">
          <a:extLst>
            <a:ext uri="{FF2B5EF4-FFF2-40B4-BE49-F238E27FC236}">
              <a16:creationId xmlns:a16="http://schemas.microsoft.com/office/drawing/2014/main" id="{329A6ECD-12FA-91FE-159B-A043F1DAF3E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5665241" y="81026"/>
          <a:ext cx="214393" cy="218089"/>
        </a:xfrm>
        <a:prstGeom prst="rect">
          <a:avLst/>
        </a:prstGeom>
      </xdr:spPr>
    </xdr:pic>
    <xdr:clientData/>
  </xdr:twoCellAnchor>
  <xdr:twoCellAnchor editAs="oneCell">
    <xdr:from>
      <xdr:col>0</xdr:col>
      <xdr:colOff>1465535</xdr:colOff>
      <xdr:row>3</xdr:row>
      <xdr:rowOff>38797</xdr:rowOff>
    </xdr:from>
    <xdr:to>
      <xdr:col>1</xdr:col>
      <xdr:colOff>159625</xdr:colOff>
      <xdr:row>4</xdr:row>
      <xdr:rowOff>66387</xdr:rowOff>
    </xdr:to>
    <xdr:pic>
      <xdr:nvPicPr>
        <xdr:cNvPr id="27" name="Graphic 26" descr="Clipboard Checked with solid fill">
          <a:extLst>
            <a:ext uri="{FF2B5EF4-FFF2-40B4-BE49-F238E27FC236}">
              <a16:creationId xmlns:a16="http://schemas.microsoft.com/office/drawing/2014/main" id="{FC8BC633-360F-4725-AD13-F87D4BEC958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1465535" y="610297"/>
          <a:ext cx="218090" cy="218090"/>
        </a:xfrm>
        <a:prstGeom prst="rect">
          <a:avLst/>
        </a:prstGeom>
      </xdr:spPr>
    </xdr:pic>
    <xdr:clientData/>
  </xdr:twoCellAnchor>
  <xdr:twoCellAnchor editAs="oneCell">
    <xdr:from>
      <xdr:col>14</xdr:col>
      <xdr:colOff>387570</xdr:colOff>
      <xdr:row>3</xdr:row>
      <xdr:rowOff>32844</xdr:rowOff>
    </xdr:from>
    <xdr:to>
      <xdr:col>14</xdr:col>
      <xdr:colOff>605660</xdr:colOff>
      <xdr:row>4</xdr:row>
      <xdr:rowOff>60434</xdr:rowOff>
    </xdr:to>
    <xdr:pic>
      <xdr:nvPicPr>
        <xdr:cNvPr id="28" name="Graphic 27" descr="Clipboard Checked with solid fill">
          <a:extLst>
            <a:ext uri="{FF2B5EF4-FFF2-40B4-BE49-F238E27FC236}">
              <a16:creationId xmlns:a16="http://schemas.microsoft.com/office/drawing/2014/main" id="{85312DEB-5453-425A-95C0-449D5D271A5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805414" y="604344"/>
          <a:ext cx="218090" cy="218090"/>
        </a:xfrm>
        <a:prstGeom prst="rect">
          <a:avLst/>
        </a:prstGeom>
      </xdr:spPr>
    </xdr:pic>
    <xdr:clientData/>
  </xdr:twoCellAnchor>
  <xdr:twoCellAnchor>
    <xdr:from>
      <xdr:col>5</xdr:col>
      <xdr:colOff>487604</xdr:colOff>
      <xdr:row>0</xdr:row>
      <xdr:rowOff>70945</xdr:rowOff>
    </xdr:from>
    <xdr:to>
      <xdr:col>7</xdr:col>
      <xdr:colOff>356224</xdr:colOff>
      <xdr:row>2</xdr:row>
      <xdr:rowOff>57807</xdr:rowOff>
    </xdr:to>
    <xdr:sp macro="" textlink="">
      <xdr:nvSpPr>
        <xdr:cNvPr id="30" name="TextBox 29">
          <a:hlinkClick xmlns:r="http://schemas.openxmlformats.org/officeDocument/2006/relationships" r:id="rId15"/>
          <a:extLst>
            <a:ext uri="{FF2B5EF4-FFF2-40B4-BE49-F238E27FC236}">
              <a16:creationId xmlns:a16="http://schemas.microsoft.com/office/drawing/2014/main" id="{E593913F-7C91-4B51-8EF2-08BA8928FB43}"/>
            </a:ext>
          </a:extLst>
        </xdr:cNvPr>
        <xdr:cNvSpPr txBox="1"/>
      </xdr:nvSpPr>
      <xdr:spPr>
        <a:xfrm>
          <a:off x="4440479" y="70945"/>
          <a:ext cx="1083058"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4.1 Betydende cifre</a:t>
          </a:r>
        </a:p>
      </xdr:txBody>
    </xdr:sp>
    <xdr:clientData/>
  </xdr:twoCellAnchor>
  <xdr:twoCellAnchor>
    <xdr:from>
      <xdr:col>5</xdr:col>
      <xdr:colOff>487604</xdr:colOff>
      <xdr:row>2</xdr:row>
      <xdr:rowOff>173421</xdr:rowOff>
    </xdr:from>
    <xdr:to>
      <xdr:col>7</xdr:col>
      <xdr:colOff>591207</xdr:colOff>
      <xdr:row>4</xdr:row>
      <xdr:rowOff>160283</xdr:rowOff>
    </xdr:to>
    <xdr:sp macro="" textlink="">
      <xdr:nvSpPr>
        <xdr:cNvPr id="31" name="TextBox 30">
          <a:hlinkClick xmlns:r="http://schemas.openxmlformats.org/officeDocument/2006/relationships" r:id="rId16"/>
          <a:extLst>
            <a:ext uri="{FF2B5EF4-FFF2-40B4-BE49-F238E27FC236}">
              <a16:creationId xmlns:a16="http://schemas.microsoft.com/office/drawing/2014/main" id="{3BAF28F7-9B96-4523-AB7B-43A26B26F560}"/>
            </a:ext>
          </a:extLst>
        </xdr:cNvPr>
        <xdr:cNvSpPr txBox="1"/>
      </xdr:nvSpPr>
      <xdr:spPr>
        <a:xfrm>
          <a:off x="4440479" y="554421"/>
          <a:ext cx="1318041"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4.2 Mængdeberegning-skeamer</a:t>
          </a:r>
        </a:p>
      </xdr:txBody>
    </xdr:sp>
    <xdr:clientData/>
  </xdr:twoCellAnchor>
  <xdr:twoCellAnchor>
    <xdr:from>
      <xdr:col>8</xdr:col>
      <xdr:colOff>52362</xdr:colOff>
      <xdr:row>0</xdr:row>
      <xdr:rowOff>70945</xdr:rowOff>
    </xdr:from>
    <xdr:to>
      <xdr:col>9</xdr:col>
      <xdr:colOff>472966</xdr:colOff>
      <xdr:row>2</xdr:row>
      <xdr:rowOff>39415</xdr:rowOff>
    </xdr:to>
    <xdr:sp macro="" textlink="">
      <xdr:nvSpPr>
        <xdr:cNvPr id="32" name="TextBox 31">
          <a:hlinkClick xmlns:r="http://schemas.openxmlformats.org/officeDocument/2006/relationships" r:id="rId17"/>
          <a:extLst>
            <a:ext uri="{FF2B5EF4-FFF2-40B4-BE49-F238E27FC236}">
              <a16:creationId xmlns:a16="http://schemas.microsoft.com/office/drawing/2014/main" id="{08ED0FCD-8AE9-40DB-BC89-D95899CFC096}"/>
            </a:ext>
          </a:extLst>
        </xdr:cNvPr>
        <xdr:cNvSpPr txBox="1"/>
      </xdr:nvSpPr>
      <xdr:spPr>
        <a:xfrm>
          <a:off x="5826893" y="70945"/>
          <a:ext cx="1027823" cy="349470"/>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5.1</a:t>
          </a:r>
          <a:r>
            <a:rPr lang="da-DK" sz="800" baseline="0">
              <a:solidFill>
                <a:schemeClr val="bg1"/>
              </a:solidFill>
              <a:latin typeface="Avenir Next LT Pro" panose="020B0504020202020204" pitchFamily="34" charset="0"/>
            </a:rPr>
            <a:t> Stofmængde-</a:t>
          </a:r>
          <a:r>
            <a:rPr lang="da-DK" sz="800">
              <a:solidFill>
                <a:schemeClr val="bg1"/>
              </a:solidFill>
              <a:latin typeface="Avenir Next LT Pro" panose="020B0504020202020204" pitchFamily="34" charset="0"/>
            </a:rPr>
            <a:t>koncentration</a:t>
          </a:r>
        </a:p>
      </xdr:txBody>
    </xdr:sp>
    <xdr:clientData/>
  </xdr:twoCellAnchor>
  <xdr:twoCellAnchor>
    <xdr:from>
      <xdr:col>10</xdr:col>
      <xdr:colOff>228035</xdr:colOff>
      <xdr:row>0</xdr:row>
      <xdr:rowOff>70945</xdr:rowOff>
    </xdr:from>
    <xdr:to>
      <xdr:col>12</xdr:col>
      <xdr:colOff>96655</xdr:colOff>
      <xdr:row>2</xdr:row>
      <xdr:rowOff>57807</xdr:rowOff>
    </xdr:to>
    <xdr:sp macro="" textlink="">
      <xdr:nvSpPr>
        <xdr:cNvPr id="33" name="TextBox 32">
          <a:hlinkClick xmlns:r="http://schemas.openxmlformats.org/officeDocument/2006/relationships" r:id="rId18"/>
          <a:extLst>
            <a:ext uri="{FF2B5EF4-FFF2-40B4-BE49-F238E27FC236}">
              <a16:creationId xmlns:a16="http://schemas.microsoft.com/office/drawing/2014/main" id="{EADC2F0B-B861-401B-94A3-4B4B8C5A272B}"/>
            </a:ext>
          </a:extLst>
        </xdr:cNvPr>
        <xdr:cNvSpPr txBox="1"/>
      </xdr:nvSpPr>
      <xdr:spPr>
        <a:xfrm>
          <a:off x="7217004" y="70945"/>
          <a:ext cx="1083057"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6.1</a:t>
          </a:r>
          <a:r>
            <a:rPr lang="da-DK" sz="800" baseline="0">
              <a:solidFill>
                <a:schemeClr val="bg1"/>
              </a:solidFill>
              <a:latin typeface="Avenir Next LT Pro" panose="020B0504020202020204" pitchFamily="34" charset="0"/>
            </a:rPr>
            <a:t> </a:t>
          </a:r>
          <a:r>
            <a:rPr lang="da-DK" sz="800">
              <a:solidFill>
                <a:schemeClr val="bg1"/>
              </a:solidFill>
              <a:latin typeface="Avenir Next LT Pro" panose="020B0504020202020204" pitchFamily="34" charset="0"/>
            </a:rPr>
            <a:t>Organisk kemi</a:t>
          </a:r>
        </a:p>
      </xdr:txBody>
    </xdr:sp>
    <xdr:clientData/>
  </xdr:twoCellAnchor>
  <xdr:twoCellAnchor>
    <xdr:from>
      <xdr:col>12</xdr:col>
      <xdr:colOff>403707</xdr:colOff>
      <xdr:row>0</xdr:row>
      <xdr:rowOff>70945</xdr:rowOff>
    </xdr:from>
    <xdr:to>
      <xdr:col>14</xdr:col>
      <xdr:colOff>272328</xdr:colOff>
      <xdr:row>2</xdr:row>
      <xdr:rowOff>57807</xdr:rowOff>
    </xdr:to>
    <xdr:sp macro="" textlink="">
      <xdr:nvSpPr>
        <xdr:cNvPr id="34" name="TextBox 33">
          <a:hlinkClick xmlns:r="http://schemas.openxmlformats.org/officeDocument/2006/relationships" r:id="rId19"/>
          <a:extLst>
            <a:ext uri="{FF2B5EF4-FFF2-40B4-BE49-F238E27FC236}">
              <a16:creationId xmlns:a16="http://schemas.microsoft.com/office/drawing/2014/main" id="{A7FBD8CD-E0BF-4A0C-BC99-B6DCFBC96810}"/>
            </a:ext>
          </a:extLst>
        </xdr:cNvPr>
        <xdr:cNvSpPr txBox="1"/>
      </xdr:nvSpPr>
      <xdr:spPr>
        <a:xfrm>
          <a:off x="8607113" y="70945"/>
          <a:ext cx="1083059"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7.1 Syrer</a:t>
          </a:r>
          <a:r>
            <a:rPr lang="da-DK" sz="800" baseline="0">
              <a:solidFill>
                <a:schemeClr val="bg1"/>
              </a:solidFill>
              <a:latin typeface="Avenir Next LT Pro" panose="020B0504020202020204" pitchFamily="34" charset="0"/>
            </a:rPr>
            <a:t> og Baser</a:t>
          </a:r>
          <a:endParaRPr lang="da-DK" sz="800">
            <a:solidFill>
              <a:schemeClr val="bg1"/>
            </a:solidFill>
            <a:latin typeface="Avenir Next LT Pro" panose="020B0504020202020204" pitchFamily="34" charset="0"/>
          </a:endParaRPr>
        </a:p>
      </xdr:txBody>
    </xdr:sp>
    <xdr:clientData/>
  </xdr:twoCellAnchor>
  <xdr:twoCellAnchor>
    <xdr:from>
      <xdr:col>14</xdr:col>
      <xdr:colOff>579383</xdr:colOff>
      <xdr:row>0</xdr:row>
      <xdr:rowOff>70945</xdr:rowOff>
    </xdr:from>
    <xdr:to>
      <xdr:col>16</xdr:col>
      <xdr:colOff>448003</xdr:colOff>
      <xdr:row>2</xdr:row>
      <xdr:rowOff>57807</xdr:rowOff>
    </xdr:to>
    <xdr:sp macro="" textlink="">
      <xdr:nvSpPr>
        <xdr:cNvPr id="35" name="TextBox 34">
          <a:hlinkClick xmlns:r="http://schemas.openxmlformats.org/officeDocument/2006/relationships" r:id="rId20"/>
          <a:extLst>
            <a:ext uri="{FF2B5EF4-FFF2-40B4-BE49-F238E27FC236}">
              <a16:creationId xmlns:a16="http://schemas.microsoft.com/office/drawing/2014/main" id="{0AD9C308-01BC-4203-A7E4-1D8654C37A33}"/>
            </a:ext>
          </a:extLst>
        </xdr:cNvPr>
        <xdr:cNvSpPr txBox="1"/>
      </xdr:nvSpPr>
      <xdr:spPr>
        <a:xfrm>
          <a:off x="9997227" y="70945"/>
          <a:ext cx="1083057"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8.1 Oxidationstal</a:t>
          </a:r>
        </a:p>
      </xdr:txBody>
    </xdr:sp>
    <xdr:clientData/>
  </xdr:twoCellAnchor>
  <xdr:twoCellAnchor>
    <xdr:from>
      <xdr:col>14</xdr:col>
      <xdr:colOff>579383</xdr:colOff>
      <xdr:row>2</xdr:row>
      <xdr:rowOff>173421</xdr:rowOff>
    </xdr:from>
    <xdr:to>
      <xdr:col>16</xdr:col>
      <xdr:colOff>448003</xdr:colOff>
      <xdr:row>4</xdr:row>
      <xdr:rowOff>160283</xdr:rowOff>
    </xdr:to>
    <xdr:sp macro="" textlink="">
      <xdr:nvSpPr>
        <xdr:cNvPr id="36" name="TextBox 35">
          <a:hlinkClick xmlns:r="http://schemas.openxmlformats.org/officeDocument/2006/relationships" r:id="rId21"/>
          <a:extLst>
            <a:ext uri="{FF2B5EF4-FFF2-40B4-BE49-F238E27FC236}">
              <a16:creationId xmlns:a16="http://schemas.microsoft.com/office/drawing/2014/main" id="{71A58987-F9FE-481F-A026-311AF8B5540E}"/>
            </a:ext>
          </a:extLst>
        </xdr:cNvPr>
        <xdr:cNvSpPr txBox="1"/>
      </xdr:nvSpPr>
      <xdr:spPr>
        <a:xfrm>
          <a:off x="9997227" y="554421"/>
          <a:ext cx="1083057"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8.2 Afstemning</a:t>
          </a:r>
          <a:r>
            <a:rPr lang="da-DK" sz="800" baseline="0">
              <a:solidFill>
                <a:schemeClr val="bg1"/>
              </a:solidFill>
              <a:latin typeface="Avenir Next LT Pro" panose="020B0504020202020204" pitchFamily="34" charset="0"/>
            </a:rPr>
            <a:t> af redoxreaktioner</a:t>
          </a:r>
          <a:endParaRPr lang="da-DK" sz="800">
            <a:solidFill>
              <a:schemeClr val="bg1"/>
            </a:solidFill>
            <a:latin typeface="Avenir Next LT Pro" panose="020B0504020202020204" pitchFamily="34" charset="0"/>
          </a:endParaRPr>
        </a:p>
      </xdr:txBody>
    </xdr:sp>
    <xdr:clientData/>
  </xdr:twoCellAnchor>
  <xdr:twoCellAnchor>
    <xdr:from>
      <xdr:col>16</xdr:col>
      <xdr:colOff>503184</xdr:colOff>
      <xdr:row>2</xdr:row>
      <xdr:rowOff>128749</xdr:rowOff>
    </xdr:from>
    <xdr:to>
      <xdr:col>18</xdr:col>
      <xdr:colOff>424963</xdr:colOff>
      <xdr:row>5</xdr:row>
      <xdr:rowOff>65943</xdr:rowOff>
    </xdr:to>
    <xdr:sp macro="" textlink="">
      <xdr:nvSpPr>
        <xdr:cNvPr id="37" name="TextBox 36">
          <a:hlinkClick xmlns:r="http://schemas.openxmlformats.org/officeDocument/2006/relationships" r:id="rId22"/>
          <a:extLst>
            <a:ext uri="{FF2B5EF4-FFF2-40B4-BE49-F238E27FC236}">
              <a16:creationId xmlns:a16="http://schemas.microsoft.com/office/drawing/2014/main" id="{73FC5938-D36A-4600-8E58-7485522FC8D2}"/>
            </a:ext>
          </a:extLst>
        </xdr:cNvPr>
        <xdr:cNvSpPr txBox="1"/>
      </xdr:nvSpPr>
      <xdr:spPr>
        <a:xfrm>
          <a:off x="11135465" y="509749"/>
          <a:ext cx="1136217" cy="508694"/>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200">
              <a:solidFill>
                <a:schemeClr val="bg1"/>
              </a:solidFill>
              <a:latin typeface="Avenir Next LT Pro" panose="020B0504020202020204" pitchFamily="34" charset="0"/>
            </a:rPr>
            <a:t>Fagords</a:t>
          </a:r>
          <a:r>
            <a:rPr lang="da-DK" sz="1200" baseline="0">
              <a:solidFill>
                <a:schemeClr val="bg1"/>
              </a:solidFill>
              <a:latin typeface="Avenir Next LT Pro" panose="020B0504020202020204" pitchFamily="34" charset="0"/>
            </a:rPr>
            <a:t>-Quiz</a:t>
          </a:r>
        </a:p>
        <a:p>
          <a:r>
            <a:rPr lang="da-DK" sz="1200">
              <a:solidFill>
                <a:schemeClr val="bg1"/>
              </a:solidFill>
              <a:latin typeface="Avenir Next LT Pro" panose="020B0504020202020204" pitchFamily="34" charset="0"/>
            </a:rPr>
            <a:t>I hele</a:t>
          </a:r>
          <a:r>
            <a:rPr lang="da-DK" sz="1200" baseline="0">
              <a:solidFill>
                <a:schemeClr val="bg1"/>
              </a:solidFill>
              <a:latin typeface="Avenir Next LT Pro" panose="020B0504020202020204" pitchFamily="34" charset="0"/>
            </a:rPr>
            <a:t> kemi-C</a:t>
          </a:r>
          <a:endParaRPr lang="da-DK" sz="1200">
            <a:solidFill>
              <a:schemeClr val="bg1"/>
            </a:solidFill>
            <a:latin typeface="Avenir Next LT Pro" panose="020B0504020202020204" pitchFamily="34" charset="0"/>
          </a:endParaRPr>
        </a:p>
      </xdr:txBody>
    </xdr:sp>
    <xdr:clientData/>
  </xdr:twoCellAnchor>
  <xdr:twoCellAnchor editAs="oneCell">
    <xdr:from>
      <xdr:col>17</xdr:col>
      <xdr:colOff>189412</xdr:colOff>
      <xdr:row>0</xdr:row>
      <xdr:rowOff>84538</xdr:rowOff>
    </xdr:from>
    <xdr:to>
      <xdr:col>18</xdr:col>
      <xdr:colOff>65689</xdr:colOff>
      <xdr:row>3</xdr:row>
      <xdr:rowOff>228</xdr:rowOff>
    </xdr:to>
    <xdr:pic>
      <xdr:nvPicPr>
        <xdr:cNvPr id="41" name="Graphic 40" descr="Clipboard with solid fill">
          <a:hlinkClick xmlns:r="http://schemas.openxmlformats.org/officeDocument/2006/relationships" r:id="rId22" tooltip="Fagordquiz"/>
          <a:extLst>
            <a:ext uri="{FF2B5EF4-FFF2-40B4-BE49-F238E27FC236}">
              <a16:creationId xmlns:a16="http://schemas.microsoft.com/office/drawing/2014/main" id="{4A497CFB-C1C6-11EB-9486-52273A411B3A}"/>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 uri="{96DAC541-7B7A-43D3-8B79-37D633B846F1}">
              <asvg:svgBlip xmlns:asvg="http://schemas.microsoft.com/office/drawing/2016/SVG/main" r:embed="rId24"/>
            </a:ext>
          </a:extLst>
        </a:blip>
        <a:stretch>
          <a:fillRect/>
        </a:stretch>
      </xdr:blipFill>
      <xdr:spPr>
        <a:xfrm>
          <a:off x="11428912" y="84538"/>
          <a:ext cx="483496" cy="487190"/>
        </a:xfrm>
        <a:prstGeom prst="rect">
          <a:avLst/>
        </a:prstGeom>
      </xdr:spPr>
    </xdr:pic>
    <xdr:clientData/>
  </xdr:twoCellAnchor>
  <xdr:twoCellAnchor editAs="oneCell">
    <xdr:from>
      <xdr:col>14</xdr:col>
      <xdr:colOff>433553</xdr:colOff>
      <xdr:row>0</xdr:row>
      <xdr:rowOff>87595</xdr:rowOff>
    </xdr:from>
    <xdr:to>
      <xdr:col>15</xdr:col>
      <xdr:colOff>27590</xdr:colOff>
      <xdr:row>1</xdr:row>
      <xdr:rowOff>102046</xdr:rowOff>
    </xdr:to>
    <xdr:pic>
      <xdr:nvPicPr>
        <xdr:cNvPr id="43" name="Graphic 42" descr="Sparkler with solid fill">
          <a:extLst>
            <a:ext uri="{FF2B5EF4-FFF2-40B4-BE49-F238E27FC236}">
              <a16:creationId xmlns:a16="http://schemas.microsoft.com/office/drawing/2014/main" id="{769271C3-425D-6A19-5DC4-12DF03CB52CF}"/>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9851397" y="87595"/>
          <a:ext cx="201256" cy="204951"/>
        </a:xfrm>
        <a:prstGeom prst="rect">
          <a:avLst/>
        </a:prstGeom>
      </xdr:spPr>
    </xdr:pic>
    <xdr:clientData/>
  </xdr:twoCellAnchor>
  <xdr:twoCellAnchor>
    <xdr:from>
      <xdr:col>1</xdr:col>
      <xdr:colOff>136259</xdr:colOff>
      <xdr:row>2</xdr:row>
      <xdr:rowOff>173421</xdr:rowOff>
    </xdr:from>
    <xdr:to>
      <xdr:col>3</xdr:col>
      <xdr:colOff>37724</xdr:colOff>
      <xdr:row>4</xdr:row>
      <xdr:rowOff>160283</xdr:rowOff>
    </xdr:to>
    <xdr:sp macro="" textlink="">
      <xdr:nvSpPr>
        <xdr:cNvPr id="44" name="TextBox 43">
          <a:hlinkClick xmlns:r="http://schemas.openxmlformats.org/officeDocument/2006/relationships" r:id="rId27"/>
          <a:extLst>
            <a:ext uri="{FF2B5EF4-FFF2-40B4-BE49-F238E27FC236}">
              <a16:creationId xmlns:a16="http://schemas.microsoft.com/office/drawing/2014/main" id="{18B90B41-95DB-413D-9A08-0AA9821D725F}"/>
            </a:ext>
          </a:extLst>
        </xdr:cNvPr>
        <xdr:cNvSpPr txBox="1"/>
      </xdr:nvSpPr>
      <xdr:spPr>
        <a:xfrm>
          <a:off x="1660259" y="554421"/>
          <a:ext cx="1115903"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2.2 Afstemning</a:t>
          </a:r>
          <a:r>
            <a:rPr lang="da-DK" sz="800" baseline="0">
              <a:solidFill>
                <a:schemeClr val="bg1"/>
              </a:solidFill>
              <a:latin typeface="Avenir Next LT Pro" panose="020B0504020202020204" pitchFamily="34" charset="0"/>
            </a:rPr>
            <a:t> af fældningsreaktioner</a:t>
          </a:r>
          <a:endParaRPr lang="da-DK" sz="800">
            <a:solidFill>
              <a:schemeClr val="bg1"/>
            </a:solidFill>
            <a:latin typeface="Avenir Next LT Pro" panose="020B0504020202020204" pitchFamily="34" charset="0"/>
          </a:endParaRPr>
        </a:p>
      </xdr:txBody>
    </xdr:sp>
    <xdr:clientData/>
  </xdr:twoCellAnchor>
  <xdr:twoCellAnchor editAs="oneCell">
    <xdr:from>
      <xdr:col>12</xdr:col>
      <xdr:colOff>190501</xdr:colOff>
      <xdr:row>3</xdr:row>
      <xdr:rowOff>19707</xdr:rowOff>
    </xdr:from>
    <xdr:to>
      <xdr:col>12</xdr:col>
      <xdr:colOff>421728</xdr:colOff>
      <xdr:row>4</xdr:row>
      <xdr:rowOff>60434</xdr:rowOff>
    </xdr:to>
    <xdr:pic>
      <xdr:nvPicPr>
        <xdr:cNvPr id="47" name="Graphic 46" descr="Calculator outline">
          <a:extLst>
            <a:ext uri="{FF2B5EF4-FFF2-40B4-BE49-F238E27FC236}">
              <a16:creationId xmlns:a16="http://schemas.microsoft.com/office/drawing/2014/main" id="{469131FE-B43C-4E78-B7B5-BBA219927A6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8393907" y="591207"/>
          <a:ext cx="231227" cy="231227"/>
        </a:xfrm>
        <a:prstGeom prst="rect">
          <a:avLst/>
        </a:prstGeom>
      </xdr:spPr>
    </xdr:pic>
    <xdr:clientData/>
  </xdr:twoCellAnchor>
  <xdr:twoCellAnchor>
    <xdr:from>
      <xdr:col>12</xdr:col>
      <xdr:colOff>403707</xdr:colOff>
      <xdr:row>2</xdr:row>
      <xdr:rowOff>173421</xdr:rowOff>
    </xdr:from>
    <xdr:to>
      <xdr:col>14</xdr:col>
      <xdr:colOff>272328</xdr:colOff>
      <xdr:row>4</xdr:row>
      <xdr:rowOff>160283</xdr:rowOff>
    </xdr:to>
    <xdr:sp macro="" textlink="">
      <xdr:nvSpPr>
        <xdr:cNvPr id="48" name="TextBox 47">
          <a:hlinkClick xmlns:r="http://schemas.openxmlformats.org/officeDocument/2006/relationships" r:id="rId28"/>
          <a:extLst>
            <a:ext uri="{FF2B5EF4-FFF2-40B4-BE49-F238E27FC236}">
              <a16:creationId xmlns:a16="http://schemas.microsoft.com/office/drawing/2014/main" id="{18A0A82A-1CFF-4D97-9922-F41C9018B122}"/>
            </a:ext>
          </a:extLst>
        </xdr:cNvPr>
        <xdr:cNvSpPr txBox="1"/>
      </xdr:nvSpPr>
      <xdr:spPr>
        <a:xfrm>
          <a:off x="8607113" y="554421"/>
          <a:ext cx="1083059"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7.2 pH-beregninger (Svær)</a:t>
          </a:r>
        </a:p>
      </xdr:txBody>
    </xdr:sp>
    <xdr:clientData/>
  </xdr:twoCellAnchor>
  <xdr:twoCellAnchor editAs="oneCell">
    <xdr:from>
      <xdr:col>10</xdr:col>
      <xdr:colOff>137948</xdr:colOff>
      <xdr:row>0</xdr:row>
      <xdr:rowOff>98104</xdr:rowOff>
    </xdr:from>
    <xdr:to>
      <xdr:col>10</xdr:col>
      <xdr:colOff>321880</xdr:colOff>
      <xdr:row>1</xdr:row>
      <xdr:rowOff>91536</xdr:rowOff>
    </xdr:to>
    <xdr:pic>
      <xdr:nvPicPr>
        <xdr:cNvPr id="52" name="Graphic 51" descr="DNA with solid fill">
          <a:extLst>
            <a:ext uri="{FF2B5EF4-FFF2-40B4-BE49-F238E27FC236}">
              <a16:creationId xmlns:a16="http://schemas.microsoft.com/office/drawing/2014/main" id="{9E48EC73-27FC-462B-F440-5DE4F54FA8F0}"/>
            </a:ext>
          </a:extLst>
        </xdr:cNvPr>
        <xdr:cNvPicPr>
          <a:picLocks noChangeAspect="1"/>
        </xdr:cNvPicPr>
      </xdr:nvPicPr>
      <xdr:blipFill>
        <a:blip xmlns:r="http://schemas.openxmlformats.org/officeDocument/2006/relationships" r:embed="rId29" cstate="print">
          <a:extLst>
            <a:ext uri="{28A0092B-C50C-407E-A947-70E740481C1C}">
              <a14:useLocalDpi xmlns:a14="http://schemas.microsoft.com/office/drawing/2010/main" val="0"/>
            </a:ext>
            <a:ext uri="{96DAC541-7B7A-43D3-8B79-37D633B846F1}">
              <asvg:svgBlip xmlns:asvg="http://schemas.microsoft.com/office/drawing/2016/SVG/main" r:embed="rId30"/>
            </a:ext>
          </a:extLst>
        </a:blip>
        <a:stretch>
          <a:fillRect/>
        </a:stretch>
      </xdr:blipFill>
      <xdr:spPr>
        <a:xfrm>
          <a:off x="7126917" y="98104"/>
          <a:ext cx="183932" cy="183932"/>
        </a:xfrm>
        <a:prstGeom prst="rect">
          <a:avLst/>
        </a:prstGeom>
      </xdr:spPr>
    </xdr:pic>
    <xdr:clientData/>
  </xdr:twoCellAnchor>
  <xdr:twoCellAnchor editAs="oneCell">
    <xdr:from>
      <xdr:col>3</xdr:col>
      <xdr:colOff>182843</xdr:colOff>
      <xdr:row>0</xdr:row>
      <xdr:rowOff>94706</xdr:rowOff>
    </xdr:from>
    <xdr:to>
      <xdr:col>3</xdr:col>
      <xdr:colOff>373571</xdr:colOff>
      <xdr:row>1</xdr:row>
      <xdr:rowOff>94934</xdr:rowOff>
    </xdr:to>
    <xdr:pic>
      <xdr:nvPicPr>
        <xdr:cNvPr id="54" name="Graphic 53" descr="Magnet with solid fill">
          <a:extLst>
            <a:ext uri="{FF2B5EF4-FFF2-40B4-BE49-F238E27FC236}">
              <a16:creationId xmlns:a16="http://schemas.microsoft.com/office/drawing/2014/main" id="{142A8542-6C69-9DCA-1497-413887BFD29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 uri="{96DAC541-7B7A-43D3-8B79-37D633B846F1}">
              <asvg:svgBlip xmlns:asvg="http://schemas.microsoft.com/office/drawing/2016/SVG/main" r:embed="rId32"/>
            </a:ext>
          </a:extLst>
        </a:blip>
        <a:stretch>
          <a:fillRect/>
        </a:stretch>
      </xdr:blipFill>
      <xdr:spPr>
        <a:xfrm>
          <a:off x="2921281" y="94706"/>
          <a:ext cx="190728" cy="190728"/>
        </a:xfrm>
        <a:prstGeom prst="rect">
          <a:avLst/>
        </a:prstGeom>
      </xdr:spPr>
    </xdr:pic>
    <xdr:clientData/>
  </xdr:twoCellAnchor>
  <xdr:twoCellAnchor editAs="oneCell">
    <xdr:from>
      <xdr:col>0</xdr:col>
      <xdr:colOff>1478226</xdr:colOff>
      <xdr:row>0</xdr:row>
      <xdr:rowOff>115084</xdr:rowOff>
    </xdr:from>
    <xdr:to>
      <xdr:col>1</xdr:col>
      <xdr:colOff>199449</xdr:colOff>
      <xdr:row>1</xdr:row>
      <xdr:rowOff>169807</xdr:rowOff>
    </xdr:to>
    <xdr:pic>
      <xdr:nvPicPr>
        <xdr:cNvPr id="56" name="Graphic 55" descr="Test tubes outline">
          <a:extLst>
            <a:ext uri="{FF2B5EF4-FFF2-40B4-BE49-F238E27FC236}">
              <a16:creationId xmlns:a16="http://schemas.microsoft.com/office/drawing/2014/main" id="{FB3D589C-F2AF-5B07-593C-6A5A749F1F5F}"/>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 uri="{96DAC541-7B7A-43D3-8B79-37D633B846F1}">
              <asvg:svgBlip xmlns:asvg="http://schemas.microsoft.com/office/drawing/2016/SVG/main" r:embed="rId34"/>
            </a:ext>
          </a:extLst>
        </a:blip>
        <a:stretch>
          <a:fillRect/>
        </a:stretch>
      </xdr:blipFill>
      <xdr:spPr>
        <a:xfrm>
          <a:off x="1478226" y="115084"/>
          <a:ext cx="245223" cy="245223"/>
        </a:xfrm>
        <a:prstGeom prst="rect">
          <a:avLst/>
        </a:prstGeom>
      </xdr:spPr>
    </xdr:pic>
    <xdr:clientData/>
  </xdr:twoCellAnchor>
  <xdr:twoCellAnchor editAs="oneCell">
    <xdr:from>
      <xdr:col>5</xdr:col>
      <xdr:colOff>295604</xdr:colOff>
      <xdr:row>3</xdr:row>
      <xdr:rowOff>26276</xdr:rowOff>
    </xdr:from>
    <xdr:to>
      <xdr:col>5</xdr:col>
      <xdr:colOff>526831</xdr:colOff>
      <xdr:row>4</xdr:row>
      <xdr:rowOff>67003</xdr:rowOff>
    </xdr:to>
    <xdr:pic>
      <xdr:nvPicPr>
        <xdr:cNvPr id="59" name="Graphic 58" descr="Calculator outline">
          <a:extLst>
            <a:ext uri="{FF2B5EF4-FFF2-40B4-BE49-F238E27FC236}">
              <a16:creationId xmlns:a16="http://schemas.microsoft.com/office/drawing/2014/main" id="{AF35BC76-266C-4475-B142-F16246B70AF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4248479" y="597776"/>
          <a:ext cx="231227" cy="231227"/>
        </a:xfrm>
        <a:prstGeom prst="rect">
          <a:avLst/>
        </a:prstGeom>
      </xdr:spPr>
    </xdr:pic>
    <xdr:clientData/>
  </xdr:twoCellAnchor>
  <xdr:twoCellAnchor editAs="oneCell">
    <xdr:from>
      <xdr:col>5</xdr:col>
      <xdr:colOff>302172</xdr:colOff>
      <xdr:row>5</xdr:row>
      <xdr:rowOff>151087</xdr:rowOff>
    </xdr:from>
    <xdr:to>
      <xdr:col>5</xdr:col>
      <xdr:colOff>533399</xdr:colOff>
      <xdr:row>7</xdr:row>
      <xdr:rowOff>1314</xdr:rowOff>
    </xdr:to>
    <xdr:pic>
      <xdr:nvPicPr>
        <xdr:cNvPr id="38" name="Graphic 37" descr="Calculator outline">
          <a:extLst>
            <a:ext uri="{FF2B5EF4-FFF2-40B4-BE49-F238E27FC236}">
              <a16:creationId xmlns:a16="http://schemas.microsoft.com/office/drawing/2014/main" id="{B47C5A1B-8C65-437D-AEA6-6FEF9626860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4255047" y="1103587"/>
          <a:ext cx="231227" cy="231227"/>
        </a:xfrm>
        <a:prstGeom prst="rect">
          <a:avLst/>
        </a:prstGeom>
      </xdr:spPr>
    </xdr:pic>
    <xdr:clientData/>
  </xdr:twoCellAnchor>
  <xdr:twoCellAnchor>
    <xdr:from>
      <xdr:col>5</xdr:col>
      <xdr:colOff>487604</xdr:colOff>
      <xdr:row>5</xdr:row>
      <xdr:rowOff>98534</xdr:rowOff>
    </xdr:from>
    <xdr:to>
      <xdr:col>7</xdr:col>
      <xdr:colOff>591207</xdr:colOff>
      <xdr:row>7</xdr:row>
      <xdr:rowOff>85396</xdr:rowOff>
    </xdr:to>
    <xdr:sp macro="" textlink="">
      <xdr:nvSpPr>
        <xdr:cNvPr id="39" name="TextBox 38">
          <a:hlinkClick xmlns:r="http://schemas.openxmlformats.org/officeDocument/2006/relationships" r:id="rId35"/>
          <a:extLst>
            <a:ext uri="{FF2B5EF4-FFF2-40B4-BE49-F238E27FC236}">
              <a16:creationId xmlns:a16="http://schemas.microsoft.com/office/drawing/2014/main" id="{B4B266EA-651F-4F64-BF14-9CDF048DEA1A}"/>
            </a:ext>
          </a:extLst>
        </xdr:cNvPr>
        <xdr:cNvSpPr txBox="1"/>
      </xdr:nvSpPr>
      <xdr:spPr>
        <a:xfrm>
          <a:off x="4440479" y="1051034"/>
          <a:ext cx="1318041" cy="367862"/>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4.3 Mængdeberegning-skeamer</a:t>
          </a:r>
        </a:p>
      </xdr:txBody>
    </xdr:sp>
    <xdr:clientData/>
  </xdr:twoCellAnchor>
  <xdr:twoCellAnchor>
    <xdr:from>
      <xdr:col>0</xdr:col>
      <xdr:colOff>137947</xdr:colOff>
      <xdr:row>9</xdr:row>
      <xdr:rowOff>137948</xdr:rowOff>
    </xdr:from>
    <xdr:to>
      <xdr:col>9</xdr:col>
      <xdr:colOff>119062</xdr:colOff>
      <xdr:row>23</xdr:row>
      <xdr:rowOff>136922</xdr:rowOff>
    </xdr:to>
    <xdr:sp macro="" textlink="">
      <xdr:nvSpPr>
        <xdr:cNvPr id="2" name="Rectangle: Rounded Corners 1">
          <a:extLst>
            <a:ext uri="{FF2B5EF4-FFF2-40B4-BE49-F238E27FC236}">
              <a16:creationId xmlns:a16="http://schemas.microsoft.com/office/drawing/2014/main" id="{FF1DB185-5C2A-4E2E-A035-3C818B56E873}"/>
            </a:ext>
          </a:extLst>
        </xdr:cNvPr>
        <xdr:cNvSpPr/>
      </xdr:nvSpPr>
      <xdr:spPr>
        <a:xfrm>
          <a:off x="137947" y="1852448"/>
          <a:ext cx="6392425" cy="2665974"/>
        </a:xfrm>
        <a:prstGeom prst="roundRect">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3600">
              <a:latin typeface="+mn-lt"/>
            </a:rPr>
            <a:t>Selvrettende</a:t>
          </a:r>
          <a:r>
            <a:rPr lang="da-DK" sz="3600" baseline="0">
              <a:latin typeface="+mn-lt"/>
            </a:rPr>
            <a:t> opgaver til Kemi C</a:t>
          </a:r>
        </a:p>
        <a:p>
          <a:pPr algn="l"/>
          <a:endParaRPr lang="da-DK" sz="1100" baseline="0"/>
        </a:p>
        <a:p>
          <a:pPr algn="l"/>
          <a:r>
            <a:rPr lang="da-DK" sz="1100" baseline="0"/>
            <a:t>- Vælg det emne, som du ønsker at træne i ovenstående oversigt.</a:t>
          </a:r>
        </a:p>
        <a:p>
          <a:pPr algn="l"/>
          <a:r>
            <a:rPr lang="da-DK" sz="1100" baseline="0"/>
            <a:t>- Dokumentet er låst, for at forhindre at der skrives i forkerte felter.</a:t>
          </a:r>
        </a:p>
        <a:p>
          <a:pPr algn="l"/>
          <a:r>
            <a:rPr lang="da-DK" sz="1100" baseline="0"/>
            <a:t>- Dokumentet er til fri deling - men del via kemiformler.dk for at udrydde gamle versioner.</a:t>
          </a:r>
        </a:p>
        <a:p>
          <a:pPr algn="l"/>
          <a:r>
            <a:rPr lang="da-DK" sz="1100" baseline="0"/>
            <a:t>- Dokumentet virker bedst, hvis filen downloades og køres i Excel.</a:t>
          </a:r>
        </a:p>
        <a:p>
          <a:pPr algn="l"/>
          <a:endParaRPr lang="da-DK" sz="1100" baseline="0"/>
        </a:p>
        <a:p>
          <a:pPr algn="l"/>
          <a:r>
            <a:rPr lang="da-DK" sz="1100" baseline="0"/>
            <a:t>- Dette er version 1.2 (Feb 2025)</a:t>
          </a:r>
        </a:p>
        <a:p>
          <a:pPr algn="l"/>
          <a:r>
            <a:rPr lang="da-DK" sz="1100" baseline="0"/>
            <a:t>- Hjælp med at sende fejl/mangler til niel122f@mail-mg.dk, så ændrer jeg gerne dokumentet.</a:t>
          </a:r>
        </a:p>
      </xdr:txBody>
    </xdr:sp>
    <xdr:clientData/>
  </xdr:twoCellAnchor>
  <xdr:twoCellAnchor editAs="oneCell">
    <xdr:from>
      <xdr:col>7</xdr:col>
      <xdr:colOff>426981</xdr:colOff>
      <xdr:row>2</xdr:row>
      <xdr:rowOff>131380</xdr:rowOff>
    </xdr:from>
    <xdr:to>
      <xdr:col>8</xdr:col>
      <xdr:colOff>139263</xdr:colOff>
      <xdr:row>4</xdr:row>
      <xdr:rowOff>73576</xdr:rowOff>
    </xdr:to>
    <xdr:pic>
      <xdr:nvPicPr>
        <xdr:cNvPr id="7" name="Graphic 6" descr="Flask outline">
          <a:hlinkClick xmlns:r="http://schemas.openxmlformats.org/officeDocument/2006/relationships" r:id="rId36"/>
          <a:extLst>
            <a:ext uri="{FF2B5EF4-FFF2-40B4-BE49-F238E27FC236}">
              <a16:creationId xmlns:a16="http://schemas.microsoft.com/office/drawing/2014/main" id="{86FF5CD2-AEBC-6DFD-ED1B-096E738E6D96}"/>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 uri="{96DAC541-7B7A-43D3-8B79-37D633B846F1}">
              <asvg:svgBlip xmlns:asvg="http://schemas.microsoft.com/office/drawing/2016/SVG/main" r:embed="rId38"/>
            </a:ext>
          </a:extLst>
        </a:blip>
        <a:stretch>
          <a:fillRect/>
        </a:stretch>
      </xdr:blipFill>
      <xdr:spPr>
        <a:xfrm>
          <a:off x="5594294" y="512380"/>
          <a:ext cx="319500" cy="323196"/>
        </a:xfrm>
        <a:prstGeom prst="rect">
          <a:avLst/>
        </a:prstGeom>
      </xdr:spPr>
    </xdr:pic>
    <xdr:clientData/>
  </xdr:twoCellAnchor>
  <xdr:twoCellAnchor>
    <xdr:from>
      <xdr:col>8</xdr:col>
      <xdr:colOff>40538</xdr:colOff>
      <xdr:row>2</xdr:row>
      <xdr:rowOff>183931</xdr:rowOff>
    </xdr:from>
    <xdr:to>
      <xdr:col>9</xdr:col>
      <xdr:colOff>461142</xdr:colOff>
      <xdr:row>4</xdr:row>
      <xdr:rowOff>152401</xdr:rowOff>
    </xdr:to>
    <xdr:sp macro="" textlink="">
      <xdr:nvSpPr>
        <xdr:cNvPr id="45" name="TextBox 44">
          <a:hlinkClick xmlns:r="http://schemas.openxmlformats.org/officeDocument/2006/relationships" r:id="rId36"/>
          <a:extLst>
            <a:ext uri="{FF2B5EF4-FFF2-40B4-BE49-F238E27FC236}">
              <a16:creationId xmlns:a16="http://schemas.microsoft.com/office/drawing/2014/main" id="{908D97C1-B57B-4587-86BB-8B60F1D3F0B3}"/>
            </a:ext>
          </a:extLst>
        </xdr:cNvPr>
        <xdr:cNvSpPr txBox="1"/>
      </xdr:nvSpPr>
      <xdr:spPr>
        <a:xfrm>
          <a:off x="5815069" y="564931"/>
          <a:ext cx="1027823" cy="349470"/>
        </a:xfrm>
        <a:prstGeom prst="rect">
          <a:avLst/>
        </a:prstGeom>
        <a:solidFill>
          <a:schemeClr val="tx2">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800">
              <a:solidFill>
                <a:schemeClr val="bg1"/>
              </a:solidFill>
              <a:latin typeface="Avenir Next LT Pro" panose="020B0504020202020204" pitchFamily="34" charset="0"/>
            </a:rPr>
            <a:t>5.2</a:t>
          </a:r>
          <a:r>
            <a:rPr lang="da-DK" sz="800" baseline="0">
              <a:solidFill>
                <a:schemeClr val="bg1"/>
              </a:solidFill>
              <a:latin typeface="Avenir Next LT Pro" panose="020B0504020202020204" pitchFamily="34" charset="0"/>
            </a:rPr>
            <a:t> Virtuel Mohr-titrering</a:t>
          </a:r>
          <a:endParaRPr lang="da-DK" sz="800">
            <a:solidFill>
              <a:schemeClr val="bg1"/>
            </a:solidFill>
            <a:latin typeface="Avenir Next LT Pro" panose="020B05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346364</xdr:colOff>
      <xdr:row>1</xdr:row>
      <xdr:rowOff>12988</xdr:rowOff>
    </xdr:from>
    <xdr:to>
      <xdr:col>9</xdr:col>
      <xdr:colOff>0</xdr:colOff>
      <xdr:row>2</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49C6A50-907D-4A1F-8F13-757F9FBA9D72}"/>
            </a:ext>
          </a:extLst>
        </xdr:cNvPr>
        <xdr:cNvSpPr/>
      </xdr:nvSpPr>
      <xdr:spPr>
        <a:xfrm>
          <a:off x="8905257" y="203488"/>
          <a:ext cx="2198172" cy="44965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284566</xdr:colOff>
      <xdr:row>1</xdr:row>
      <xdr:rowOff>0</xdr:rowOff>
    </xdr:from>
    <xdr:to>
      <xdr:col>11</xdr:col>
      <xdr:colOff>1371971</xdr:colOff>
      <xdr:row>1</xdr:row>
      <xdr:rowOff>453420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3421FD3-8BD6-4A85-88D5-711C70A08EB3}"/>
            </a:ext>
          </a:extLst>
        </xdr:cNvPr>
        <xdr:cNvSpPr/>
      </xdr:nvSpPr>
      <xdr:spPr>
        <a:xfrm>
          <a:off x="9904816" y="190500"/>
          <a:ext cx="1468405" cy="4534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twoCellAnchor>
    <xdr:from>
      <xdr:col>5</xdr:col>
      <xdr:colOff>367964</xdr:colOff>
      <xdr:row>9</xdr:row>
      <xdr:rowOff>124559</xdr:rowOff>
    </xdr:from>
    <xdr:to>
      <xdr:col>5</xdr:col>
      <xdr:colOff>720588</xdr:colOff>
      <xdr:row>17</xdr:row>
      <xdr:rowOff>156862</xdr:rowOff>
    </xdr:to>
    <xdr:pic>
      <xdr:nvPicPr>
        <xdr:cNvPr id="5" name="Picture 4">
          <a:extLst>
            <a:ext uri="{FF2B5EF4-FFF2-40B4-BE49-F238E27FC236}">
              <a16:creationId xmlns:a16="http://schemas.microsoft.com/office/drawing/2014/main" id="{BA6BBE2B-D5E6-350D-3A51-931E4160102E}"/>
            </a:ext>
          </a:extLst>
        </xdr:cNvPr>
        <xdr:cNvPicPr>
          <a:picLocks noChangeAspect="1"/>
        </xdr:cNvPicPr>
      </xdr:nvPicPr>
      <xdr:blipFill>
        <a:blip xmlns:r="http://schemas.openxmlformats.org/officeDocument/2006/relationships" r:embed="rId2">
          <a:alphaModFix/>
          <a:extLst>
            <a:ext uri="{BEBA8EAE-BF5A-486C-A8C5-ECC9F3942E4B}">
              <a14:imgProps xmlns:a14="http://schemas.microsoft.com/office/drawing/2010/main">
                <a14:imgLayer r:embed="rId3">
                  <a14:imgEffect>
                    <a14:backgroundRemoval t="1144" b="93301" l="6757" r="91892">
                      <a14:foregroundMark x1="52703" y1="1471" x2="27027" y2="92974"/>
                      <a14:foregroundMark x1="27027" y1="92974" x2="93243" y2="76307"/>
                      <a14:foregroundMark x1="93243" y1="76307" x2="64865" y2="73693"/>
                      <a14:foregroundMark x1="64865" y1="73693" x2="64865" y2="73693"/>
                      <a14:foregroundMark x1="41892" y1="92647" x2="47297" y2="93301"/>
                      <a14:foregroundMark x1="47297" y1="93301" x2="37838" y2="63889"/>
                      <a14:foregroundMark x1="48649" y1="6536" x2="58108" y2="1144"/>
                      <a14:foregroundMark x1="77027" y1="71732" x2="77027" y2="71732"/>
                      <a14:foregroundMark x1="9459" y1="75654" x2="9459" y2="75654"/>
                    </a14:backgroundRemoval>
                  </a14:imgEffect>
                </a14:imgLayer>
              </a14:imgProps>
            </a:ext>
            <a:ext uri="{28A0092B-C50C-407E-A947-70E740481C1C}">
              <a14:useLocalDpi xmlns:a14="http://schemas.microsoft.com/office/drawing/2010/main" val="0"/>
            </a:ext>
          </a:extLst>
        </a:blip>
        <a:stretch>
          <a:fillRect/>
        </a:stretch>
      </xdr:blipFill>
      <xdr:spPr>
        <a:xfrm>
          <a:off x="4668868" y="2220059"/>
          <a:ext cx="352624" cy="1929976"/>
        </a:xfrm>
        <a:prstGeom prst="rect">
          <a:avLst/>
        </a:prstGeom>
      </xdr:spPr>
    </xdr:pic>
    <xdr:clientData/>
  </xdr:twoCellAnchor>
  <xdr:twoCellAnchor>
    <xdr:from>
      <xdr:col>7</xdr:col>
      <xdr:colOff>262476</xdr:colOff>
      <xdr:row>11</xdr:row>
      <xdr:rowOff>89216</xdr:rowOff>
    </xdr:from>
    <xdr:to>
      <xdr:col>11</xdr:col>
      <xdr:colOff>178862</xdr:colOff>
      <xdr:row>23</xdr:row>
      <xdr:rowOff>129053</xdr:rowOff>
    </xdr:to>
    <xdr:graphicFrame macro="">
      <xdr:nvGraphicFramePr>
        <xdr:cNvPr id="3" name="Chart 2">
          <a:extLst>
            <a:ext uri="{FF2B5EF4-FFF2-40B4-BE49-F238E27FC236}">
              <a16:creationId xmlns:a16="http://schemas.microsoft.com/office/drawing/2014/main" id="{DAF1590F-55FA-9AA5-97E2-8872B62290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xdr:col>
      <xdr:colOff>5408221</xdr:colOff>
      <xdr:row>0</xdr:row>
      <xdr:rowOff>189881</xdr:rowOff>
    </xdr:from>
    <xdr:to>
      <xdr:col>5</xdr:col>
      <xdr:colOff>1732</xdr:colOff>
      <xdr:row>1</xdr:row>
      <xdr:rowOff>463509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27B0300-12C2-4E84-BA84-0F32AE67E70A}"/>
            </a:ext>
          </a:extLst>
        </xdr:cNvPr>
        <xdr:cNvSpPr/>
      </xdr:nvSpPr>
      <xdr:spPr>
        <a:xfrm>
          <a:off x="11803578" y="189881"/>
          <a:ext cx="1818904" cy="4641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twoCellAnchor editAs="oneCell">
    <xdr:from>
      <xdr:col>1</xdr:col>
      <xdr:colOff>40822</xdr:colOff>
      <xdr:row>16</xdr:row>
      <xdr:rowOff>54429</xdr:rowOff>
    </xdr:from>
    <xdr:to>
      <xdr:col>1</xdr:col>
      <xdr:colOff>739438</xdr:colOff>
      <xdr:row>16</xdr:row>
      <xdr:rowOff>2054678</xdr:rowOff>
    </xdr:to>
    <xdr:pic>
      <xdr:nvPicPr>
        <xdr:cNvPr id="3" name="Picture 2">
          <a:extLst>
            <a:ext uri="{FF2B5EF4-FFF2-40B4-BE49-F238E27FC236}">
              <a16:creationId xmlns:a16="http://schemas.microsoft.com/office/drawing/2014/main" id="{3AA24EC0-824A-ED4A-0B63-82F5093E9B16}"/>
            </a:ext>
          </a:extLst>
        </xdr:cNvPr>
        <xdr:cNvPicPr>
          <a:picLocks noChangeAspect="1"/>
        </xdr:cNvPicPr>
      </xdr:nvPicPr>
      <xdr:blipFill>
        <a:blip xmlns:r="http://schemas.openxmlformats.org/officeDocument/2006/relationships" r:embed="rId2"/>
        <a:stretch>
          <a:fillRect/>
        </a:stretch>
      </xdr:blipFill>
      <xdr:spPr>
        <a:xfrm>
          <a:off x="653143" y="8150679"/>
          <a:ext cx="698616" cy="2000249"/>
        </a:xfrm>
        <a:prstGeom prst="rect">
          <a:avLst/>
        </a:prstGeom>
      </xdr:spPr>
    </xdr:pic>
    <xdr:clientData/>
  </xdr:twoCellAnchor>
  <xdr:twoCellAnchor editAs="oneCell">
    <xdr:from>
      <xdr:col>1</xdr:col>
      <xdr:colOff>54429</xdr:colOff>
      <xdr:row>7</xdr:row>
      <xdr:rowOff>421822</xdr:rowOff>
    </xdr:from>
    <xdr:to>
      <xdr:col>1</xdr:col>
      <xdr:colOff>652293</xdr:colOff>
      <xdr:row>8</xdr:row>
      <xdr:rowOff>2054678</xdr:rowOff>
    </xdr:to>
    <xdr:pic>
      <xdr:nvPicPr>
        <xdr:cNvPr id="4" name="Picture 3">
          <a:extLst>
            <a:ext uri="{FF2B5EF4-FFF2-40B4-BE49-F238E27FC236}">
              <a16:creationId xmlns:a16="http://schemas.microsoft.com/office/drawing/2014/main" id="{1F92F74E-FE60-6982-4224-30E994D560AF}"/>
            </a:ext>
          </a:extLst>
        </xdr:cNvPr>
        <xdr:cNvPicPr>
          <a:picLocks noChangeAspect="1"/>
        </xdr:cNvPicPr>
      </xdr:nvPicPr>
      <xdr:blipFill>
        <a:blip xmlns:r="http://schemas.openxmlformats.org/officeDocument/2006/relationships" r:embed="rId3"/>
        <a:stretch>
          <a:fillRect/>
        </a:stretch>
      </xdr:blipFill>
      <xdr:spPr>
        <a:xfrm>
          <a:off x="666750" y="2041072"/>
          <a:ext cx="597864" cy="2068285"/>
        </a:xfrm>
        <a:prstGeom prst="rect">
          <a:avLst/>
        </a:prstGeom>
      </xdr:spPr>
    </xdr:pic>
    <xdr:clientData/>
  </xdr:twoCellAnchor>
  <xdr:twoCellAnchor editAs="oneCell">
    <xdr:from>
      <xdr:col>1</xdr:col>
      <xdr:colOff>54430</xdr:colOff>
      <xdr:row>11</xdr:row>
      <xdr:rowOff>421822</xdr:rowOff>
    </xdr:from>
    <xdr:to>
      <xdr:col>1</xdr:col>
      <xdr:colOff>884870</xdr:colOff>
      <xdr:row>12</xdr:row>
      <xdr:rowOff>1918607</xdr:rowOff>
    </xdr:to>
    <xdr:pic>
      <xdr:nvPicPr>
        <xdr:cNvPr id="7" name="Picture 6">
          <a:extLst>
            <a:ext uri="{FF2B5EF4-FFF2-40B4-BE49-F238E27FC236}">
              <a16:creationId xmlns:a16="http://schemas.microsoft.com/office/drawing/2014/main" id="{455A8C9F-AFD5-D7A8-297B-1E29D611D5B2}"/>
            </a:ext>
          </a:extLst>
        </xdr:cNvPr>
        <xdr:cNvPicPr>
          <a:picLocks noChangeAspect="1"/>
        </xdr:cNvPicPr>
      </xdr:nvPicPr>
      <xdr:blipFill>
        <a:blip xmlns:r="http://schemas.openxmlformats.org/officeDocument/2006/relationships" r:embed="rId4"/>
        <a:stretch>
          <a:fillRect/>
        </a:stretch>
      </xdr:blipFill>
      <xdr:spPr>
        <a:xfrm>
          <a:off x="666751" y="5061858"/>
          <a:ext cx="830440" cy="1932213"/>
        </a:xfrm>
        <a:prstGeom prst="rect">
          <a:avLst/>
        </a:prstGeom>
      </xdr:spPr>
    </xdr:pic>
    <xdr:clientData/>
  </xdr:twoCellAnchor>
  <xdr:twoCellAnchor editAs="oneCell">
    <xdr:from>
      <xdr:col>1</xdr:col>
      <xdr:colOff>40821</xdr:colOff>
      <xdr:row>19</xdr:row>
      <xdr:rowOff>392489</xdr:rowOff>
    </xdr:from>
    <xdr:to>
      <xdr:col>1</xdr:col>
      <xdr:colOff>900998</xdr:colOff>
      <xdr:row>20</xdr:row>
      <xdr:rowOff>1809750</xdr:rowOff>
    </xdr:to>
    <xdr:pic>
      <xdr:nvPicPr>
        <xdr:cNvPr id="8" name="Picture 7">
          <a:extLst>
            <a:ext uri="{FF2B5EF4-FFF2-40B4-BE49-F238E27FC236}">
              <a16:creationId xmlns:a16="http://schemas.microsoft.com/office/drawing/2014/main" id="{3C9431FD-4359-C104-4A01-9EB579ABEC17}"/>
            </a:ext>
          </a:extLst>
        </xdr:cNvPr>
        <xdr:cNvPicPr>
          <a:picLocks noChangeAspect="1"/>
        </xdr:cNvPicPr>
      </xdr:nvPicPr>
      <xdr:blipFill>
        <a:blip xmlns:r="http://schemas.openxmlformats.org/officeDocument/2006/relationships" r:embed="rId5"/>
        <a:stretch>
          <a:fillRect/>
        </a:stretch>
      </xdr:blipFill>
      <xdr:spPr>
        <a:xfrm>
          <a:off x="653142" y="11074096"/>
          <a:ext cx="860177" cy="1852690"/>
        </a:xfrm>
        <a:prstGeom prst="rect">
          <a:avLst/>
        </a:prstGeom>
      </xdr:spPr>
    </xdr:pic>
    <xdr:clientData/>
  </xdr:twoCellAnchor>
  <xdr:twoCellAnchor editAs="oneCell">
    <xdr:from>
      <xdr:col>1</xdr:col>
      <xdr:colOff>54430</xdr:colOff>
      <xdr:row>24</xdr:row>
      <xdr:rowOff>0</xdr:rowOff>
    </xdr:from>
    <xdr:to>
      <xdr:col>1</xdr:col>
      <xdr:colOff>666752</xdr:colOff>
      <xdr:row>24</xdr:row>
      <xdr:rowOff>1716902</xdr:rowOff>
    </xdr:to>
    <xdr:pic>
      <xdr:nvPicPr>
        <xdr:cNvPr id="9" name="Picture 8">
          <a:extLst>
            <a:ext uri="{FF2B5EF4-FFF2-40B4-BE49-F238E27FC236}">
              <a16:creationId xmlns:a16="http://schemas.microsoft.com/office/drawing/2014/main" id="{B41129AB-8AE7-30E4-504E-E34D5B2E72B4}"/>
            </a:ext>
          </a:extLst>
        </xdr:cNvPr>
        <xdr:cNvPicPr>
          <a:picLocks noChangeAspect="1"/>
        </xdr:cNvPicPr>
      </xdr:nvPicPr>
      <xdr:blipFill>
        <a:blip xmlns:r="http://schemas.openxmlformats.org/officeDocument/2006/relationships" r:embed="rId6"/>
        <a:stretch>
          <a:fillRect/>
        </a:stretch>
      </xdr:blipFill>
      <xdr:spPr>
        <a:xfrm>
          <a:off x="666751" y="14124214"/>
          <a:ext cx="612322" cy="171690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8</xdr:col>
      <xdr:colOff>66675</xdr:colOff>
      <xdr:row>1</xdr:row>
      <xdr:rowOff>0</xdr:rowOff>
    </xdr:from>
    <xdr:to>
      <xdr:col>9</xdr:col>
      <xdr:colOff>1048740</xdr:colOff>
      <xdr:row>1</xdr:row>
      <xdr:rowOff>454603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B41C6B4-E96F-47C8-8687-14FF157ABEA0}"/>
            </a:ext>
          </a:extLst>
        </xdr:cNvPr>
        <xdr:cNvSpPr/>
      </xdr:nvSpPr>
      <xdr:spPr>
        <a:xfrm>
          <a:off x="8314204" y="190500"/>
          <a:ext cx="1508742" cy="45460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29725</xdr:colOff>
      <xdr:row>1</xdr:row>
      <xdr:rowOff>19933</xdr:rowOff>
    </xdr:from>
    <xdr:to>
      <xdr:col>6</xdr:col>
      <xdr:colOff>1425302</xdr:colOff>
      <xdr:row>1</xdr:row>
      <xdr:rowOff>487973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FAD51A8-F635-4470-998C-4B259A098E2A}"/>
            </a:ext>
          </a:extLst>
        </xdr:cNvPr>
        <xdr:cNvSpPr/>
      </xdr:nvSpPr>
      <xdr:spPr>
        <a:xfrm>
          <a:off x="7783075" y="210433"/>
          <a:ext cx="1395577" cy="4680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302558</xdr:colOff>
      <xdr:row>1</xdr:row>
      <xdr:rowOff>11206</xdr:rowOff>
    </xdr:from>
    <xdr:to>
      <xdr:col>9</xdr:col>
      <xdr:colOff>3790</xdr:colOff>
      <xdr:row>1</xdr:row>
      <xdr:rowOff>465809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50E1058-2979-4986-A146-CECB072057BE}"/>
            </a:ext>
          </a:extLst>
        </xdr:cNvPr>
        <xdr:cNvSpPr/>
      </xdr:nvSpPr>
      <xdr:spPr>
        <a:xfrm>
          <a:off x="9312087" y="201706"/>
          <a:ext cx="1382115" cy="45460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481853</xdr:colOff>
      <xdr:row>1</xdr:row>
      <xdr:rowOff>19050</xdr:rowOff>
    </xdr:from>
    <xdr:to>
      <xdr:col>10</xdr:col>
      <xdr:colOff>593912</xdr:colOff>
      <xdr:row>1</xdr:row>
      <xdr:rowOff>504825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38A69E8-9925-48E9-B740-032C83638CE5}"/>
            </a:ext>
          </a:extLst>
        </xdr:cNvPr>
        <xdr:cNvSpPr/>
      </xdr:nvSpPr>
      <xdr:spPr>
        <a:xfrm>
          <a:off x="9581029" y="209550"/>
          <a:ext cx="1467971" cy="4857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663437</xdr:colOff>
      <xdr:row>1</xdr:row>
      <xdr:rowOff>0</xdr:rowOff>
    </xdr:from>
    <xdr:to>
      <xdr:col>11</xdr:col>
      <xdr:colOff>603550</xdr:colOff>
      <xdr:row>2</xdr:row>
      <xdr:rowOff>8283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6EBB68B-657D-43C3-B955-9F9F0CCCC4F2}"/>
            </a:ext>
          </a:extLst>
        </xdr:cNvPr>
        <xdr:cNvSpPr/>
      </xdr:nvSpPr>
      <xdr:spPr>
        <a:xfrm>
          <a:off x="12037408" y="201706"/>
          <a:ext cx="2450230" cy="8039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321468</xdr:colOff>
      <xdr:row>1</xdr:row>
      <xdr:rowOff>0</xdr:rowOff>
    </xdr:from>
    <xdr:to>
      <xdr:col>13</xdr:col>
      <xdr:colOff>1083467</xdr:colOff>
      <xdr:row>1</xdr:row>
      <xdr:rowOff>464345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434D101-3CF1-DF2D-3D66-751D063BD499}"/>
            </a:ext>
          </a:extLst>
        </xdr:cNvPr>
        <xdr:cNvSpPr/>
      </xdr:nvSpPr>
      <xdr:spPr>
        <a:xfrm>
          <a:off x="10501312" y="190500"/>
          <a:ext cx="1369218" cy="46434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1</xdr:row>
      <xdr:rowOff>1</xdr:rowOff>
    </xdr:from>
    <xdr:to>
      <xdr:col>14</xdr:col>
      <xdr:colOff>0</xdr:colOff>
      <xdr:row>2</xdr:row>
      <xdr:rowOff>1</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8ACB6E9-79EE-4B8A-B422-210827E8BEDF}"/>
            </a:ext>
          </a:extLst>
        </xdr:cNvPr>
        <xdr:cNvSpPr/>
      </xdr:nvSpPr>
      <xdr:spPr>
        <a:xfrm>
          <a:off x="9334500" y="190501"/>
          <a:ext cx="1706217" cy="4638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781051</xdr:colOff>
      <xdr:row>1</xdr:row>
      <xdr:rowOff>19049</xdr:rowOff>
    </xdr:from>
    <xdr:to>
      <xdr:col>13</xdr:col>
      <xdr:colOff>607220</xdr:colOff>
      <xdr:row>1</xdr:row>
      <xdr:rowOff>512378</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B92667C-DB39-45C6-91A0-3311D5854ADA}"/>
            </a:ext>
          </a:extLst>
        </xdr:cNvPr>
        <xdr:cNvSpPr/>
      </xdr:nvSpPr>
      <xdr:spPr>
        <a:xfrm>
          <a:off x="11258551" y="209549"/>
          <a:ext cx="1513455" cy="4933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3776</xdr:colOff>
      <xdr:row>1</xdr:row>
      <xdr:rowOff>0</xdr:rowOff>
    </xdr:from>
    <xdr:to>
      <xdr:col>11</xdr:col>
      <xdr:colOff>0</xdr:colOff>
      <xdr:row>2</xdr:row>
      <xdr:rowOff>117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4BD7C32-D2C9-4171-B3D1-47E46401B3B1}"/>
            </a:ext>
          </a:extLst>
        </xdr:cNvPr>
        <xdr:cNvSpPr/>
      </xdr:nvSpPr>
      <xdr:spPr>
        <a:xfrm>
          <a:off x="13549212" y="188285"/>
          <a:ext cx="1524654" cy="45421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1140899</xdr:colOff>
      <xdr:row>1</xdr:row>
      <xdr:rowOff>0</xdr:rowOff>
    </xdr:from>
    <xdr:to>
      <xdr:col>6</xdr:col>
      <xdr:colOff>0</xdr:colOff>
      <xdr:row>2</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7757E6C-EF79-48C0-94B2-A3F3CABA46B7}"/>
            </a:ext>
          </a:extLst>
        </xdr:cNvPr>
        <xdr:cNvSpPr/>
      </xdr:nvSpPr>
      <xdr:spPr>
        <a:xfrm>
          <a:off x="11584781" y="190500"/>
          <a:ext cx="1817454" cy="47064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twoCellAnchor>
    <xdr:from>
      <xdr:col>4</xdr:col>
      <xdr:colOff>235325</xdr:colOff>
      <xdr:row>42</xdr:row>
      <xdr:rowOff>80840</xdr:rowOff>
    </xdr:from>
    <xdr:to>
      <xdr:col>4</xdr:col>
      <xdr:colOff>2521324</xdr:colOff>
      <xdr:row>42</xdr:row>
      <xdr:rowOff>1622448</xdr:rowOff>
    </xdr:to>
    <xdr:pic>
      <xdr:nvPicPr>
        <xdr:cNvPr id="4" name="Picture 3">
          <a:extLst>
            <a:ext uri="{FF2B5EF4-FFF2-40B4-BE49-F238E27FC236}">
              <a16:creationId xmlns:a16="http://schemas.microsoft.com/office/drawing/2014/main" id="{A89C30B7-12DB-C383-29CD-2CE863C0164A}"/>
            </a:ext>
          </a:extLst>
        </xdr:cNvPr>
        <xdr:cNvPicPr>
          <a:picLocks noChangeAspect="1"/>
        </xdr:cNvPicPr>
      </xdr:nvPicPr>
      <xdr:blipFill>
        <a:blip xmlns:r="http://schemas.openxmlformats.org/officeDocument/2006/relationships" r:embed="rId2"/>
        <a:stretch>
          <a:fillRect/>
        </a:stretch>
      </xdr:blipFill>
      <xdr:spPr>
        <a:xfrm>
          <a:off x="7272619" y="15914752"/>
          <a:ext cx="2285999" cy="1541608"/>
        </a:xfrm>
        <a:prstGeom prst="rect">
          <a:avLst/>
        </a:prstGeom>
      </xdr:spPr>
    </xdr:pic>
    <xdr:clientData/>
  </xdr:twoCellAnchor>
  <xdr:twoCellAnchor>
    <xdr:from>
      <xdr:col>4</xdr:col>
      <xdr:colOff>560294</xdr:colOff>
      <xdr:row>45</xdr:row>
      <xdr:rowOff>537882</xdr:rowOff>
    </xdr:from>
    <xdr:to>
      <xdr:col>4</xdr:col>
      <xdr:colOff>2135280</xdr:colOff>
      <xdr:row>45</xdr:row>
      <xdr:rowOff>1266049</xdr:rowOff>
    </xdr:to>
    <xdr:pic>
      <xdr:nvPicPr>
        <xdr:cNvPr id="7" name="Picture 6">
          <a:extLst>
            <a:ext uri="{FF2B5EF4-FFF2-40B4-BE49-F238E27FC236}">
              <a16:creationId xmlns:a16="http://schemas.microsoft.com/office/drawing/2014/main" id="{2995741F-4DE1-D8D4-9F78-27D6CD212773}"/>
            </a:ext>
          </a:extLst>
        </xdr:cNvPr>
        <xdr:cNvPicPr>
          <a:picLocks noChangeAspect="1"/>
        </xdr:cNvPicPr>
      </xdr:nvPicPr>
      <xdr:blipFill>
        <a:blip xmlns:r="http://schemas.openxmlformats.org/officeDocument/2006/relationships" r:embed="rId3"/>
        <a:stretch>
          <a:fillRect/>
        </a:stretch>
      </xdr:blipFill>
      <xdr:spPr>
        <a:xfrm>
          <a:off x="7597588" y="21089470"/>
          <a:ext cx="1574986" cy="728167"/>
        </a:xfrm>
        <a:prstGeom prst="rect">
          <a:avLst/>
        </a:prstGeom>
      </xdr:spPr>
    </xdr:pic>
    <xdr:clientData/>
  </xdr:twoCellAnchor>
  <xdr:twoCellAnchor>
    <xdr:from>
      <xdr:col>4</xdr:col>
      <xdr:colOff>739588</xdr:colOff>
      <xdr:row>43</xdr:row>
      <xdr:rowOff>320509</xdr:rowOff>
    </xdr:from>
    <xdr:to>
      <xdr:col>4</xdr:col>
      <xdr:colOff>2728447</xdr:colOff>
      <xdr:row>43</xdr:row>
      <xdr:rowOff>1086971</xdr:rowOff>
    </xdr:to>
    <xdr:pic>
      <xdr:nvPicPr>
        <xdr:cNvPr id="8" name="Picture 7">
          <a:extLst>
            <a:ext uri="{FF2B5EF4-FFF2-40B4-BE49-F238E27FC236}">
              <a16:creationId xmlns:a16="http://schemas.microsoft.com/office/drawing/2014/main" id="{B7B49F41-B3E9-C5A5-DFF4-9C8D1DEED89D}"/>
            </a:ext>
          </a:extLst>
        </xdr:cNvPr>
        <xdr:cNvPicPr>
          <a:picLocks noChangeAspect="1"/>
        </xdr:cNvPicPr>
      </xdr:nvPicPr>
      <xdr:blipFill>
        <a:blip xmlns:r="http://schemas.openxmlformats.org/officeDocument/2006/relationships" r:embed="rId4"/>
        <a:stretch>
          <a:fillRect/>
        </a:stretch>
      </xdr:blipFill>
      <xdr:spPr>
        <a:xfrm>
          <a:off x="7776882" y="17846509"/>
          <a:ext cx="1988859" cy="766462"/>
        </a:xfrm>
        <a:prstGeom prst="rect">
          <a:avLst/>
        </a:prstGeom>
      </xdr:spPr>
    </xdr:pic>
    <xdr:clientData/>
  </xdr:twoCellAnchor>
  <xdr:twoCellAnchor>
    <xdr:from>
      <xdr:col>4</xdr:col>
      <xdr:colOff>257736</xdr:colOff>
      <xdr:row>44</xdr:row>
      <xdr:rowOff>56029</xdr:rowOff>
    </xdr:from>
    <xdr:to>
      <xdr:col>4</xdr:col>
      <xdr:colOff>2135281</xdr:colOff>
      <xdr:row>44</xdr:row>
      <xdr:rowOff>1423463</xdr:rowOff>
    </xdr:to>
    <xdr:pic>
      <xdr:nvPicPr>
        <xdr:cNvPr id="9" name="Picture 8">
          <a:extLst>
            <a:ext uri="{FF2B5EF4-FFF2-40B4-BE49-F238E27FC236}">
              <a16:creationId xmlns:a16="http://schemas.microsoft.com/office/drawing/2014/main" id="{89EA07EE-91F4-7639-9D84-A582FA364070}"/>
            </a:ext>
          </a:extLst>
        </xdr:cNvPr>
        <xdr:cNvPicPr>
          <a:picLocks noChangeAspect="1"/>
        </xdr:cNvPicPr>
      </xdr:nvPicPr>
      <xdr:blipFill>
        <a:blip xmlns:r="http://schemas.openxmlformats.org/officeDocument/2006/relationships" r:embed="rId5"/>
        <a:stretch>
          <a:fillRect/>
        </a:stretch>
      </xdr:blipFill>
      <xdr:spPr>
        <a:xfrm>
          <a:off x="7295030" y="19083617"/>
          <a:ext cx="1877545" cy="1367434"/>
        </a:xfrm>
        <a:prstGeom prst="rect">
          <a:avLst/>
        </a:prstGeom>
      </xdr:spPr>
    </xdr:pic>
    <xdr:clientData/>
  </xdr:twoCellAnchor>
  <xdr:twoCellAnchor>
    <xdr:from>
      <xdr:col>4</xdr:col>
      <xdr:colOff>952504</xdr:colOff>
      <xdr:row>35</xdr:row>
      <xdr:rowOff>179293</xdr:rowOff>
    </xdr:from>
    <xdr:to>
      <xdr:col>4</xdr:col>
      <xdr:colOff>2110108</xdr:colOff>
      <xdr:row>35</xdr:row>
      <xdr:rowOff>1187823</xdr:rowOff>
    </xdr:to>
    <xdr:pic>
      <xdr:nvPicPr>
        <xdr:cNvPr id="10" name="Picture 9">
          <a:extLst>
            <a:ext uri="{FF2B5EF4-FFF2-40B4-BE49-F238E27FC236}">
              <a16:creationId xmlns:a16="http://schemas.microsoft.com/office/drawing/2014/main" id="{E672AED5-2CC3-FED5-93BE-44E16F0A7F7B}"/>
            </a:ext>
          </a:extLst>
        </xdr:cNvPr>
        <xdr:cNvPicPr>
          <a:picLocks noChangeAspect="1"/>
        </xdr:cNvPicPr>
      </xdr:nvPicPr>
      <xdr:blipFill>
        <a:blip xmlns:r="http://schemas.openxmlformats.org/officeDocument/2006/relationships" r:embed="rId6"/>
        <a:stretch>
          <a:fillRect/>
        </a:stretch>
      </xdr:blipFill>
      <xdr:spPr>
        <a:xfrm>
          <a:off x="7989798" y="9435352"/>
          <a:ext cx="1157604" cy="1008530"/>
        </a:xfrm>
        <a:prstGeom prst="rect">
          <a:avLst/>
        </a:prstGeom>
      </xdr:spPr>
    </xdr:pic>
    <xdr:clientData/>
  </xdr:twoCellAnchor>
  <xdr:twoCellAnchor>
    <xdr:from>
      <xdr:col>4</xdr:col>
      <xdr:colOff>896471</xdr:colOff>
      <xdr:row>36</xdr:row>
      <xdr:rowOff>52819</xdr:rowOff>
    </xdr:from>
    <xdr:to>
      <xdr:col>4</xdr:col>
      <xdr:colOff>2064124</xdr:colOff>
      <xdr:row>36</xdr:row>
      <xdr:rowOff>1165411</xdr:rowOff>
    </xdr:to>
    <xdr:pic>
      <xdr:nvPicPr>
        <xdr:cNvPr id="11" name="Picture 10">
          <a:extLst>
            <a:ext uri="{FF2B5EF4-FFF2-40B4-BE49-F238E27FC236}">
              <a16:creationId xmlns:a16="http://schemas.microsoft.com/office/drawing/2014/main" id="{3F621BFC-5614-9500-A09A-4CB18E79B484}"/>
            </a:ext>
          </a:extLst>
        </xdr:cNvPr>
        <xdr:cNvPicPr>
          <a:picLocks noChangeAspect="1"/>
        </xdr:cNvPicPr>
      </xdr:nvPicPr>
      <xdr:blipFill>
        <a:blip xmlns:r="http://schemas.openxmlformats.org/officeDocument/2006/relationships" r:embed="rId7"/>
        <a:stretch>
          <a:fillRect/>
        </a:stretch>
      </xdr:blipFill>
      <xdr:spPr>
        <a:xfrm>
          <a:off x="7933765" y="10855290"/>
          <a:ext cx="1167653" cy="1112592"/>
        </a:xfrm>
        <a:prstGeom prst="rect">
          <a:avLst/>
        </a:prstGeom>
      </xdr:spPr>
    </xdr:pic>
    <xdr:clientData/>
  </xdr:twoCellAnchor>
  <xdr:twoCellAnchor>
    <xdr:from>
      <xdr:col>4</xdr:col>
      <xdr:colOff>907676</xdr:colOff>
      <xdr:row>37</xdr:row>
      <xdr:rowOff>179294</xdr:rowOff>
    </xdr:from>
    <xdr:to>
      <xdr:col>4</xdr:col>
      <xdr:colOff>2393845</xdr:colOff>
      <xdr:row>37</xdr:row>
      <xdr:rowOff>884242</xdr:rowOff>
    </xdr:to>
    <xdr:pic>
      <xdr:nvPicPr>
        <xdr:cNvPr id="12" name="Picture 11">
          <a:extLst>
            <a:ext uri="{FF2B5EF4-FFF2-40B4-BE49-F238E27FC236}">
              <a16:creationId xmlns:a16="http://schemas.microsoft.com/office/drawing/2014/main" id="{567FDDF3-83B4-07F1-397E-E5334B818A25}"/>
            </a:ext>
          </a:extLst>
        </xdr:cNvPr>
        <xdr:cNvPicPr>
          <a:picLocks noChangeAspect="1"/>
        </xdr:cNvPicPr>
      </xdr:nvPicPr>
      <xdr:blipFill>
        <a:blip xmlns:r="http://schemas.openxmlformats.org/officeDocument/2006/relationships" r:embed="rId8"/>
        <a:stretch>
          <a:fillRect/>
        </a:stretch>
      </xdr:blipFill>
      <xdr:spPr>
        <a:xfrm>
          <a:off x="7944970" y="12259235"/>
          <a:ext cx="1486169" cy="704948"/>
        </a:xfrm>
        <a:prstGeom prst="rect">
          <a:avLst/>
        </a:prstGeom>
      </xdr:spPr>
    </xdr:pic>
    <xdr:clientData/>
  </xdr:twoCellAnchor>
  <xdr:twoCellAnchor>
    <xdr:from>
      <xdr:col>4</xdr:col>
      <xdr:colOff>773207</xdr:colOff>
      <xdr:row>38</xdr:row>
      <xdr:rowOff>403412</xdr:rowOff>
    </xdr:from>
    <xdr:to>
      <xdr:col>4</xdr:col>
      <xdr:colOff>2259491</xdr:colOff>
      <xdr:row>38</xdr:row>
      <xdr:rowOff>1352398</xdr:rowOff>
    </xdr:to>
    <xdr:pic>
      <xdr:nvPicPr>
        <xdr:cNvPr id="13" name="Picture 12">
          <a:extLst>
            <a:ext uri="{FF2B5EF4-FFF2-40B4-BE49-F238E27FC236}">
              <a16:creationId xmlns:a16="http://schemas.microsoft.com/office/drawing/2014/main" id="{9A0D366F-943C-33CB-64D3-131A9AA4755D}"/>
            </a:ext>
          </a:extLst>
        </xdr:cNvPr>
        <xdr:cNvPicPr>
          <a:picLocks noChangeAspect="1"/>
        </xdr:cNvPicPr>
      </xdr:nvPicPr>
      <xdr:blipFill>
        <a:blip xmlns:r="http://schemas.openxmlformats.org/officeDocument/2006/relationships" r:embed="rId9"/>
        <a:stretch>
          <a:fillRect/>
        </a:stretch>
      </xdr:blipFill>
      <xdr:spPr>
        <a:xfrm>
          <a:off x="7810501" y="13648765"/>
          <a:ext cx="1486284" cy="9489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1863587</xdr:colOff>
      <xdr:row>1</xdr:row>
      <xdr:rowOff>0</xdr:rowOff>
    </xdr:from>
    <xdr:to>
      <xdr:col>6</xdr:col>
      <xdr:colOff>0</xdr:colOff>
      <xdr:row>1</xdr:row>
      <xdr:rowOff>463826</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9F8662B-7150-4383-B5F4-75D42FA03559}"/>
            </a:ext>
          </a:extLst>
        </xdr:cNvPr>
        <xdr:cNvSpPr/>
      </xdr:nvSpPr>
      <xdr:spPr>
        <a:xfrm>
          <a:off x="6899413" y="190500"/>
          <a:ext cx="1515717" cy="4638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346364</xdr:colOff>
      <xdr:row>1</xdr:row>
      <xdr:rowOff>12988</xdr:rowOff>
    </xdr:from>
    <xdr:to>
      <xdr:col>11</xdr:col>
      <xdr:colOff>982807</xdr:colOff>
      <xdr:row>1</xdr:row>
      <xdr:rowOff>467591</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B14D31F-A67E-4B92-83FB-15647B0BD8F7}"/>
            </a:ext>
          </a:extLst>
        </xdr:cNvPr>
        <xdr:cNvSpPr/>
      </xdr:nvSpPr>
      <xdr:spPr>
        <a:xfrm>
          <a:off x="7123768" y="203488"/>
          <a:ext cx="1501020" cy="45460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346363</xdr:colOff>
      <xdr:row>1</xdr:row>
      <xdr:rowOff>12988</xdr:rowOff>
    </xdr:from>
    <xdr:to>
      <xdr:col>11</xdr:col>
      <xdr:colOff>991913</xdr:colOff>
      <xdr:row>1</xdr:row>
      <xdr:rowOff>486103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852A055-EC68-4726-9373-68197639F8C5}"/>
            </a:ext>
          </a:extLst>
        </xdr:cNvPr>
        <xdr:cNvSpPr/>
      </xdr:nvSpPr>
      <xdr:spPr>
        <a:xfrm>
          <a:off x="6416087" y="203488"/>
          <a:ext cx="1387843" cy="4731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a:t>Tryk</a:t>
          </a:r>
          <a:r>
            <a:rPr lang="da-DK" sz="1100" baseline="0"/>
            <a:t> for at komme t</a:t>
          </a:r>
          <a:r>
            <a:rPr lang="da-DK" sz="1100"/>
            <a:t>ilbage</a:t>
          </a:r>
          <a:r>
            <a:rPr lang="da-DK" sz="1100" baseline="0"/>
            <a:t> til oversigten</a:t>
          </a:r>
          <a:endParaRPr lang="da-DK"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6.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7.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B839A-8118-4185-9232-7FF882D69A63}">
  <sheetPr codeName="Sheet1">
    <tabColor theme="1" tint="0.499984740745262"/>
  </sheetPr>
  <dimension ref="A1"/>
  <sheetViews>
    <sheetView showGridLines="0" showRowColHeaders="0" tabSelected="1" zoomScale="190" zoomScaleNormal="190" workbookViewId="0">
      <selection activeCell="A9" sqref="A9"/>
    </sheetView>
  </sheetViews>
  <sheetFormatPr defaultRowHeight="15" x14ac:dyDescent="0.25"/>
  <cols>
    <col min="1" max="1" width="22.85546875" customWidth="1"/>
  </cols>
  <sheetData/>
  <sheetProtection algorithmName="SHA-512" hashValue="nZjvWCA4uPC8lYFOoMNM29cCl4Bm2oikLiVfVREusG4qbgbgUDquAuz9ykuv1siE81wL5peq1AfM3/gIo/i5Pg==" saltValue="Cv6uv9/v148KJIyC7zDb2w==" spinCount="100000" sheet="1" objects="1" scenarios="1" formatColumns="0" formatRows="0"/>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0B2FB-9B67-4C3D-AF8E-E38A874D9066}">
  <sheetPr codeName="Sheet10">
    <tabColor theme="5" tint="0.39997558519241921"/>
  </sheetPr>
  <dimension ref="A1:AH220"/>
  <sheetViews>
    <sheetView showGridLines="0" zoomScale="205" zoomScaleNormal="205" workbookViewId="0"/>
  </sheetViews>
  <sheetFormatPr defaultRowHeight="15" x14ac:dyDescent="0.25"/>
  <cols>
    <col min="2" max="2" width="29" customWidth="1"/>
    <col min="3" max="3" width="14.5703125" customWidth="1"/>
    <col min="4" max="4" width="13.140625" customWidth="1"/>
    <col min="5" max="5" width="19.7109375" customWidth="1"/>
    <col min="6" max="6" width="26.85546875" customWidth="1"/>
    <col min="7" max="7" width="12.42578125" customWidth="1"/>
    <col min="8" max="8" width="18.42578125" customWidth="1"/>
    <col min="9" max="9" width="19.85546875" customWidth="1"/>
  </cols>
  <sheetData>
    <row r="1" spans="2:34" x14ac:dyDescent="0.25">
      <c r="AA1" s="437"/>
      <c r="AB1" s="437"/>
      <c r="AC1" s="437"/>
      <c r="AD1" s="437"/>
      <c r="AE1" s="437"/>
      <c r="AF1" s="437"/>
      <c r="AG1" s="437"/>
      <c r="AH1" s="437"/>
    </row>
    <row r="2" spans="2:34" ht="36.75" customHeight="1" thickBot="1" x14ac:dyDescent="0.5">
      <c r="B2" s="283" t="s">
        <v>698</v>
      </c>
      <c r="C2" s="284"/>
      <c r="D2" s="284"/>
      <c r="E2" s="284"/>
      <c r="F2" s="284"/>
      <c r="G2" s="284"/>
      <c r="H2" s="284"/>
      <c r="I2" s="285"/>
      <c r="J2" s="3"/>
      <c r="AA2" s="437"/>
      <c r="AB2" s="437"/>
      <c r="AC2" s="437"/>
      <c r="AD2" s="437"/>
      <c r="AE2" s="437"/>
      <c r="AF2" s="437"/>
      <c r="AG2" s="437"/>
      <c r="AH2" s="437"/>
    </row>
    <row r="3" spans="2:34" x14ac:dyDescent="0.25">
      <c r="B3" s="381" t="s">
        <v>928</v>
      </c>
      <c r="I3" s="365"/>
      <c r="AA3" s="437"/>
      <c r="AB3" s="437"/>
      <c r="AC3" s="437"/>
      <c r="AD3" s="437"/>
      <c r="AE3" s="437"/>
      <c r="AF3" s="437"/>
      <c r="AG3" s="437"/>
      <c r="AH3" s="437"/>
    </row>
    <row r="4" spans="2:34" x14ac:dyDescent="0.25">
      <c r="B4" s="19"/>
      <c r="I4" s="18"/>
      <c r="AA4" s="437"/>
      <c r="AB4" s="437"/>
      <c r="AC4" s="437"/>
      <c r="AD4" s="437"/>
      <c r="AE4" s="437"/>
      <c r="AF4" s="437"/>
      <c r="AG4" s="437"/>
      <c r="AH4" s="437"/>
    </row>
    <row r="5" spans="2:34" ht="23.25" x14ac:dyDescent="0.35">
      <c r="B5" s="211" t="s">
        <v>1033</v>
      </c>
      <c r="C5" s="212"/>
      <c r="D5" s="212"/>
      <c r="E5" s="212"/>
      <c r="F5" s="212"/>
      <c r="G5" s="212"/>
      <c r="H5" s="212"/>
      <c r="I5" s="213"/>
      <c r="AA5" s="437"/>
      <c r="AB5" s="437"/>
      <c r="AC5" s="437"/>
      <c r="AD5" s="437"/>
      <c r="AE5" s="437"/>
      <c r="AF5" s="437"/>
      <c r="AG5" s="437"/>
      <c r="AH5" s="437"/>
    </row>
    <row r="6" spans="2:34" x14ac:dyDescent="0.25">
      <c r="B6" s="17" t="s">
        <v>1106</v>
      </c>
      <c r="I6" s="18"/>
      <c r="AA6" s="437"/>
      <c r="AB6" s="437"/>
      <c r="AC6" s="437"/>
      <c r="AD6" s="437"/>
      <c r="AE6" s="437"/>
      <c r="AF6" s="437"/>
      <c r="AG6" s="437"/>
      <c r="AH6" s="437"/>
    </row>
    <row r="7" spans="2:34" x14ac:dyDescent="0.25">
      <c r="B7" s="19"/>
      <c r="I7" s="18"/>
      <c r="AA7" s="437"/>
      <c r="AB7" s="437"/>
      <c r="AC7" s="437"/>
      <c r="AD7" s="437"/>
      <c r="AE7" s="437"/>
      <c r="AF7" s="437"/>
      <c r="AG7" s="437"/>
      <c r="AH7" s="437"/>
    </row>
    <row r="8" spans="2:34" x14ac:dyDescent="0.25">
      <c r="B8" s="286" t="s">
        <v>643</v>
      </c>
      <c r="C8" s="286" t="s">
        <v>642</v>
      </c>
      <c r="D8" s="286" t="s">
        <v>123</v>
      </c>
      <c r="I8" s="18"/>
      <c r="AA8" s="437"/>
      <c r="AB8" s="437" t="s">
        <v>427</v>
      </c>
      <c r="AC8" s="437"/>
      <c r="AD8" s="437"/>
      <c r="AE8" s="437"/>
      <c r="AF8" s="437"/>
      <c r="AG8" s="437"/>
      <c r="AH8" s="437"/>
    </row>
    <row r="9" spans="2:34" ht="18.75" x14ac:dyDescent="0.3">
      <c r="B9" s="280" t="str">
        <f>"m,"&amp;AB8&amp;" (g)"</f>
        <v>m,CuSO₄ (g)</v>
      </c>
      <c r="C9" s="145"/>
      <c r="D9" s="265" t="str">
        <f>IF(C9="","",IF(ABS(C9-AB9)/AB9&lt;0.02,"R","F"))</f>
        <v/>
      </c>
      <c r="I9" s="18"/>
      <c r="AA9" s="437"/>
      <c r="AB9" s="437">
        <v>30</v>
      </c>
      <c r="AC9" s="437"/>
      <c r="AD9" s="437"/>
      <c r="AE9" s="437"/>
      <c r="AF9" s="437"/>
      <c r="AG9" s="437"/>
      <c r="AH9" s="437"/>
    </row>
    <row r="10" spans="2:34" ht="18.75" x14ac:dyDescent="0.3">
      <c r="B10" s="280" t="str">
        <f>"M,"&amp; AB8&amp;" (g/mol)"</f>
        <v>M,CuSO₄ (g/mol)</v>
      </c>
      <c r="C10" s="160"/>
      <c r="D10" s="265" t="str">
        <f>IF(C10="","",IF(ABS(C10-AB10)/AB10&lt;0.02,"R","F"))</f>
        <v/>
      </c>
      <c r="I10" s="18"/>
      <c r="AA10" s="437"/>
      <c r="AB10" s="437">
        <v>159.61000000000001</v>
      </c>
      <c r="AC10" s="437"/>
      <c r="AD10" s="437"/>
      <c r="AE10" s="437"/>
      <c r="AF10" s="437"/>
      <c r="AG10" s="437"/>
      <c r="AH10" s="437"/>
    </row>
    <row r="11" spans="2:34" ht="18.75" x14ac:dyDescent="0.3">
      <c r="B11" s="280" t="str">
        <f>"n,"&amp;AB8&amp;" (mol)"</f>
        <v>n,CuSO₄ (mol)</v>
      </c>
      <c r="C11" s="191"/>
      <c r="D11" s="265" t="str">
        <f>IF(C11="","",IF(ABS(C11-AB11)/AB11&lt;0.02,"R","F"))</f>
        <v/>
      </c>
      <c r="I11" s="18"/>
      <c r="AA11" s="437"/>
      <c r="AB11" s="437">
        <f>AB9/AB10</f>
        <v>0.18795814798571517</v>
      </c>
      <c r="AC11" s="437"/>
      <c r="AD11" s="437"/>
      <c r="AE11" s="437"/>
      <c r="AF11" s="437"/>
      <c r="AG11" s="437"/>
      <c r="AH11" s="437"/>
    </row>
    <row r="12" spans="2:34" ht="18.75" x14ac:dyDescent="0.3">
      <c r="B12" s="280" t="s">
        <v>819</v>
      </c>
      <c r="C12" s="192"/>
      <c r="D12" s="265" t="str">
        <f>IF(C12="","",IF(ABS(C12-AB12)/AB12&lt;0.02,"R","F"))</f>
        <v/>
      </c>
      <c r="I12" s="18"/>
      <c r="AA12" s="437"/>
      <c r="AB12" s="437">
        <v>0.25</v>
      </c>
      <c r="AC12" s="437"/>
      <c r="AD12" s="437"/>
      <c r="AE12" s="437"/>
      <c r="AF12" s="437"/>
      <c r="AG12" s="437"/>
      <c r="AH12" s="437"/>
    </row>
    <row r="13" spans="2:34" ht="18.75" x14ac:dyDescent="0.3">
      <c r="B13" s="280" t="str">
        <f>"c,"&amp;AB8&amp;" (mol/L)"</f>
        <v>c,CuSO₄ (mol/L)</v>
      </c>
      <c r="C13" s="198"/>
      <c r="D13" s="265" t="str">
        <f>IF(C13="","",IF(ABS(C13-AB13)/AB13&lt;0.02,"R","F"))</f>
        <v/>
      </c>
      <c r="I13" s="18"/>
      <c r="AA13" s="437"/>
      <c r="AB13" s="437">
        <f>AB11/AB12</f>
        <v>0.75183259194286067</v>
      </c>
      <c r="AC13" s="437"/>
      <c r="AD13" s="437"/>
      <c r="AE13" s="437"/>
      <c r="AF13" s="437"/>
      <c r="AG13" s="437"/>
      <c r="AH13" s="437"/>
    </row>
    <row r="14" spans="2:34" x14ac:dyDescent="0.25">
      <c r="B14" s="17"/>
      <c r="I14" s="18"/>
      <c r="AA14" s="437"/>
      <c r="AB14" s="437"/>
      <c r="AC14" s="437"/>
      <c r="AD14" s="437"/>
      <c r="AE14" s="437"/>
      <c r="AF14" s="437"/>
      <c r="AG14" s="437"/>
      <c r="AH14" s="437"/>
    </row>
    <row r="15" spans="2:34" x14ac:dyDescent="0.25">
      <c r="B15" s="17" t="s">
        <v>933</v>
      </c>
      <c r="I15" s="18"/>
      <c r="AA15" s="437"/>
      <c r="AB15" s="437"/>
      <c r="AC15" s="437"/>
      <c r="AD15" s="437"/>
      <c r="AE15" s="437"/>
      <c r="AF15" s="437"/>
      <c r="AG15" s="437"/>
      <c r="AH15" s="437"/>
    </row>
    <row r="16" spans="2:34" x14ac:dyDescent="0.25">
      <c r="B16" s="286" t="s">
        <v>643</v>
      </c>
      <c r="C16" s="286" t="s">
        <v>642</v>
      </c>
      <c r="D16" s="286" t="s">
        <v>123</v>
      </c>
      <c r="I16" s="18"/>
      <c r="AA16" s="437"/>
      <c r="AB16" s="437" t="s">
        <v>175</v>
      </c>
      <c r="AC16" s="437"/>
      <c r="AD16" s="437"/>
      <c r="AE16" s="437"/>
      <c r="AF16" s="437"/>
      <c r="AG16" s="437"/>
      <c r="AH16" s="437"/>
    </row>
    <row r="17" spans="2:34" ht="18.75" x14ac:dyDescent="0.3">
      <c r="B17" s="280" t="s">
        <v>819</v>
      </c>
      <c r="C17" s="192"/>
      <c r="D17" s="265" t="str">
        <f>IF(C17="","",IF(ABS(C17-AB17)/AB17&lt;0.02,"R","F"))</f>
        <v/>
      </c>
      <c r="I17" s="18"/>
      <c r="AA17" s="437"/>
      <c r="AB17" s="437">
        <v>0.5</v>
      </c>
      <c r="AC17" s="437"/>
      <c r="AD17" s="437"/>
      <c r="AE17" s="437"/>
      <c r="AF17" s="437"/>
      <c r="AG17" s="437"/>
      <c r="AH17" s="437"/>
    </row>
    <row r="18" spans="2:34" ht="18.75" x14ac:dyDescent="0.3">
      <c r="B18" s="280" t="str">
        <f>"c,"&amp;AB16&amp;" (mol/L)"</f>
        <v>c,AgNO₃ (mol/L)</v>
      </c>
      <c r="C18" s="193"/>
      <c r="D18" s="265" t="str">
        <f>IF(C18="","",IF(ABS(C18-AB18)/AB18&lt;0.02,"R","F"))</f>
        <v/>
      </c>
      <c r="I18" s="18"/>
      <c r="AA18" s="437"/>
      <c r="AB18" s="437">
        <v>0.2</v>
      </c>
      <c r="AC18" s="437"/>
      <c r="AD18" s="437"/>
      <c r="AE18" s="437"/>
      <c r="AF18" s="437"/>
      <c r="AG18" s="437"/>
      <c r="AH18" s="437"/>
    </row>
    <row r="19" spans="2:34" ht="18.75" x14ac:dyDescent="0.3">
      <c r="B19" s="280" t="str">
        <f>"n,"&amp;AB16&amp;" (mol)"</f>
        <v>n,AgNO₃ (mol)</v>
      </c>
      <c r="C19" s="199"/>
      <c r="D19" s="265" t="str">
        <f>IF(C19="","",IF(ABS(C19-AB19)/AB19&lt;0.02,"R","F"))</f>
        <v/>
      </c>
      <c r="I19" s="18"/>
      <c r="AA19" s="437"/>
      <c r="AB19" s="437">
        <f>AB17*AB18</f>
        <v>0.1</v>
      </c>
      <c r="AC19" s="437"/>
      <c r="AD19" s="437"/>
      <c r="AE19" s="437"/>
      <c r="AF19" s="437"/>
      <c r="AG19" s="437"/>
      <c r="AH19" s="437"/>
    </row>
    <row r="20" spans="2:34" ht="18.75" x14ac:dyDescent="0.3">
      <c r="B20" s="280" t="str">
        <f>"M,"&amp; AB16&amp;" (g/mol)"</f>
        <v>M,AgNO₃ (g/mol)</v>
      </c>
      <c r="C20" s="160"/>
      <c r="D20" s="265" t="str">
        <f>IF(C20="","",IF(ABS(C20-AB20)/AB20&lt;0.02,"R","F"))</f>
        <v/>
      </c>
      <c r="I20" s="18"/>
      <c r="AA20" s="437"/>
      <c r="AB20" s="437">
        <v>169.87</v>
      </c>
      <c r="AC20" s="437"/>
      <c r="AD20" s="437"/>
      <c r="AE20" s="437"/>
      <c r="AF20" s="437"/>
      <c r="AG20" s="437"/>
      <c r="AH20" s="437"/>
    </row>
    <row r="21" spans="2:34" ht="18.75" x14ac:dyDescent="0.3">
      <c r="B21" s="280" t="str">
        <f>"m,"&amp;AB16&amp;" (g)"</f>
        <v>m,AgNO₃ (g)</v>
      </c>
      <c r="C21" s="145"/>
      <c r="D21" s="265" t="str">
        <f>IF(C21="","",IF(ABS(C21-AB21)/AB21&lt;0.02,"R","F"))</f>
        <v/>
      </c>
      <c r="I21" s="18"/>
      <c r="AA21" s="437"/>
      <c r="AB21" s="437">
        <f>AB19*AB20</f>
        <v>16.987000000000002</v>
      </c>
      <c r="AC21" s="437"/>
      <c r="AD21" s="437"/>
      <c r="AE21" s="437"/>
      <c r="AF21" s="437"/>
      <c r="AG21" s="437"/>
      <c r="AH21" s="437"/>
    </row>
    <row r="22" spans="2:34" x14ac:dyDescent="0.25">
      <c r="B22" s="17"/>
      <c r="I22" s="18"/>
      <c r="AA22" s="437"/>
      <c r="AB22" s="437"/>
      <c r="AC22" s="437"/>
      <c r="AD22" s="437"/>
      <c r="AE22" s="437"/>
      <c r="AF22" s="437"/>
      <c r="AG22" s="437"/>
      <c r="AH22" s="437"/>
    </row>
    <row r="23" spans="2:34" x14ac:dyDescent="0.25">
      <c r="B23" s="17" t="s">
        <v>934</v>
      </c>
      <c r="I23" s="18"/>
      <c r="AA23" s="437"/>
      <c r="AB23" s="437"/>
      <c r="AC23" s="437"/>
      <c r="AD23" s="437"/>
      <c r="AE23" s="437"/>
      <c r="AF23" s="437"/>
      <c r="AG23" s="437"/>
      <c r="AH23" s="437"/>
    </row>
    <row r="24" spans="2:34" x14ac:dyDescent="0.25">
      <c r="B24" s="286" t="s">
        <v>643</v>
      </c>
      <c r="C24" s="286" t="s">
        <v>642</v>
      </c>
      <c r="D24" s="286" t="s">
        <v>123</v>
      </c>
      <c r="I24" s="18"/>
      <c r="AA24" s="437"/>
      <c r="AB24" s="437" t="s">
        <v>312</v>
      </c>
      <c r="AC24" s="437"/>
      <c r="AD24" s="437"/>
      <c r="AE24" s="437"/>
      <c r="AF24" s="437"/>
      <c r="AG24" s="437"/>
      <c r="AH24" s="437"/>
    </row>
    <row r="25" spans="2:34" ht="18.75" x14ac:dyDescent="0.3">
      <c r="B25" s="280" t="s">
        <v>819</v>
      </c>
      <c r="C25" s="192"/>
      <c r="D25" s="265" t="str">
        <f>IF(C25="","",IF(ABS(C25-AB25)/AB25&lt;0.02,"R","F"))</f>
        <v/>
      </c>
      <c r="I25" s="18"/>
      <c r="AA25" s="437"/>
      <c r="AB25" s="437">
        <v>0.1</v>
      </c>
      <c r="AC25" s="437"/>
      <c r="AD25" s="437"/>
      <c r="AE25" s="437"/>
      <c r="AF25" s="437"/>
      <c r="AG25" s="437"/>
      <c r="AH25" s="437"/>
    </row>
    <row r="26" spans="2:34" ht="18.75" x14ac:dyDescent="0.3">
      <c r="B26" s="280" t="str">
        <f>"c,"&amp;AB24&amp;" (mol/L)"</f>
        <v>c,NaOH (mol/L)</v>
      </c>
      <c r="C26" s="193"/>
      <c r="D26" s="265" t="str">
        <f>IF(C26="","",IF(ABS(C26-AB26)/AB26&lt;0.02,"R","F"))</f>
        <v/>
      </c>
      <c r="I26" s="18"/>
      <c r="AA26" s="437"/>
      <c r="AB26" s="437">
        <v>0.5</v>
      </c>
      <c r="AC26" s="437"/>
      <c r="AD26" s="437"/>
      <c r="AE26" s="437"/>
      <c r="AF26" s="437"/>
      <c r="AG26" s="437"/>
      <c r="AH26" s="437"/>
    </row>
    <row r="27" spans="2:34" ht="18.75" x14ac:dyDescent="0.3">
      <c r="B27" s="280" t="str">
        <f>"n,"&amp;AB24&amp;" (mol)"</f>
        <v>n,NaOH (mol)</v>
      </c>
      <c r="C27" s="191"/>
      <c r="D27" s="265" t="str">
        <f>IF(C27="","",IF(ABS(C27-AB27)/AB27&lt;0.02,"R","F"))</f>
        <v/>
      </c>
      <c r="I27" s="18"/>
      <c r="AA27" s="437"/>
      <c r="AB27" s="437">
        <f>AB25*AB26</f>
        <v>0.05</v>
      </c>
      <c r="AC27" s="437"/>
      <c r="AD27" s="437"/>
      <c r="AE27" s="437"/>
      <c r="AF27" s="437"/>
      <c r="AG27" s="437"/>
      <c r="AH27" s="437"/>
    </row>
    <row r="28" spans="2:34" ht="18.75" x14ac:dyDescent="0.3">
      <c r="B28" s="280" t="str">
        <f>"M,"&amp; AB24&amp;" (g/mol)"</f>
        <v>M,NaOH (g/mol)</v>
      </c>
      <c r="C28" s="160"/>
      <c r="D28" s="265" t="str">
        <f>IF(C28="","",IF(ABS(C28-AB28)/AB28&lt;0.02,"R","F"))</f>
        <v/>
      </c>
      <c r="I28" s="18"/>
      <c r="AA28" s="437"/>
      <c r="AB28" s="437">
        <v>40</v>
      </c>
      <c r="AC28" s="437"/>
      <c r="AD28" s="437"/>
      <c r="AE28" s="437"/>
      <c r="AF28" s="437"/>
      <c r="AG28" s="437"/>
      <c r="AH28" s="437"/>
    </row>
    <row r="29" spans="2:34" ht="18.75" x14ac:dyDescent="0.3">
      <c r="B29" s="280" t="str">
        <f>"m,"&amp;AB24&amp;" (g)"</f>
        <v>m,NaOH (g)</v>
      </c>
      <c r="C29" s="145"/>
      <c r="D29" s="265" t="str">
        <f>IF(C29="","",IF(ABS(C29-AB29)/AB29&lt;0.02,"R","F"))</f>
        <v/>
      </c>
      <c r="I29" s="18"/>
      <c r="AA29" s="437"/>
      <c r="AB29" s="437">
        <f>AB27*AB28</f>
        <v>2</v>
      </c>
      <c r="AC29" s="437"/>
      <c r="AD29" s="437"/>
      <c r="AE29" s="437"/>
      <c r="AF29" s="437"/>
      <c r="AG29" s="437"/>
      <c r="AH29" s="437"/>
    </row>
    <row r="30" spans="2:34" x14ac:dyDescent="0.25">
      <c r="B30" s="17"/>
      <c r="I30" s="18"/>
      <c r="AA30" s="437"/>
      <c r="AB30" s="437"/>
      <c r="AC30" s="437"/>
      <c r="AD30" s="437"/>
      <c r="AE30" s="437"/>
      <c r="AF30" s="437"/>
      <c r="AG30" s="437"/>
      <c r="AH30" s="437"/>
    </row>
    <row r="31" spans="2:34" ht="15.75" thickBot="1" x14ac:dyDescent="0.3">
      <c r="B31" s="203"/>
      <c r="C31" s="204"/>
      <c r="D31" s="204"/>
      <c r="E31" s="204"/>
      <c r="F31" s="204"/>
      <c r="G31" s="204"/>
      <c r="H31" s="204"/>
      <c r="I31" s="205"/>
      <c r="AA31" s="437"/>
      <c r="AB31" s="437"/>
      <c r="AC31" s="437"/>
      <c r="AD31" s="437"/>
      <c r="AE31" s="437"/>
      <c r="AF31" s="437"/>
      <c r="AG31" s="437"/>
      <c r="AH31" s="437"/>
    </row>
    <row r="32" spans="2:34" ht="23.25" x14ac:dyDescent="0.35">
      <c r="B32" s="208" t="s">
        <v>1034</v>
      </c>
      <c r="C32" s="209"/>
      <c r="D32" s="209"/>
      <c r="E32" s="209"/>
      <c r="F32" s="209"/>
      <c r="G32" s="209"/>
      <c r="H32" s="209"/>
      <c r="I32" s="210"/>
      <c r="AA32" s="437"/>
      <c r="AB32" s="437"/>
      <c r="AC32" s="437"/>
      <c r="AD32" s="437"/>
      <c r="AE32" s="437"/>
      <c r="AF32" s="437"/>
      <c r="AG32" s="437"/>
      <c r="AH32" s="437"/>
    </row>
    <row r="33" spans="2:34" x14ac:dyDescent="0.25">
      <c r="B33" s="399"/>
      <c r="AA33" s="437"/>
      <c r="AB33" s="437"/>
      <c r="AC33" s="437"/>
      <c r="AD33" s="437"/>
      <c r="AE33" s="437"/>
      <c r="AF33" s="437"/>
      <c r="AG33" s="437"/>
      <c r="AH33" s="437"/>
    </row>
    <row r="34" spans="2:34" x14ac:dyDescent="0.25">
      <c r="B34" s="17" t="str">
        <f>"1) En kemiker opløser 20,0 gram "&amp;AC37&amp;" i en 250 mL målekolbe og fylder op til stregen med vand. Beregn de aktuelle koncentrationer i opløsningen."</f>
        <v>1) En kemiker opløser 20,0 gram bariumchlorid i en 250 mL målekolbe og fylder op til stregen med vand. Beregn de aktuelle koncentrationer i opløsningen.</v>
      </c>
      <c r="I34" s="18"/>
      <c r="AA34" s="437"/>
      <c r="AB34" s="437"/>
      <c r="AC34" s="437"/>
      <c r="AD34" s="437"/>
      <c r="AE34" s="437"/>
      <c r="AF34" s="437"/>
      <c r="AG34" s="437"/>
      <c r="AH34" s="437"/>
    </row>
    <row r="35" spans="2:34" x14ac:dyDescent="0.25">
      <c r="B35" s="17"/>
      <c r="I35" s="18"/>
      <c r="AA35" s="437"/>
      <c r="AB35" s="437"/>
      <c r="AC35" s="437"/>
      <c r="AD35" s="437"/>
      <c r="AE35" s="437"/>
      <c r="AF35" s="437"/>
      <c r="AG35" s="437"/>
      <c r="AH35" s="437"/>
    </row>
    <row r="36" spans="2:34" x14ac:dyDescent="0.25">
      <c r="B36" s="17" t="str">
        <f>"Først beregnes stofmængden af "&amp;AC37&amp;" :"</f>
        <v>Først beregnes stofmængden af bariumchlorid :</v>
      </c>
      <c r="I36" s="18"/>
      <c r="AA36" s="437"/>
      <c r="AB36" s="437"/>
      <c r="AC36" s="437"/>
      <c r="AD36" s="437"/>
      <c r="AE36" s="437"/>
      <c r="AF36" s="437"/>
      <c r="AG36" s="437"/>
      <c r="AH36" s="437"/>
    </row>
    <row r="37" spans="2:34" x14ac:dyDescent="0.25">
      <c r="B37" s="286" t="s">
        <v>643</v>
      </c>
      <c r="C37" s="286" t="s">
        <v>642</v>
      </c>
      <c r="D37" s="286" t="s">
        <v>123</v>
      </c>
      <c r="I37" s="18"/>
      <c r="AA37" s="437"/>
      <c r="AB37" s="437" t="s">
        <v>462</v>
      </c>
      <c r="AC37" s="437" t="s">
        <v>349</v>
      </c>
      <c r="AD37" s="437"/>
      <c r="AE37" s="437"/>
      <c r="AF37" s="437"/>
      <c r="AG37" s="437"/>
      <c r="AH37" s="437"/>
    </row>
    <row r="38" spans="2:34" ht="18.75" x14ac:dyDescent="0.3">
      <c r="B38" s="280" t="str">
        <f>"m,"&amp;AB37&amp;" (g)"</f>
        <v>m,BaCl₂ (g)</v>
      </c>
      <c r="C38" s="145"/>
      <c r="D38" s="265" t="str">
        <f>IF(C38="","",IF(ABS(C38-AD38)/AD38&lt;0.02,"R","F"))</f>
        <v/>
      </c>
      <c r="I38" s="18"/>
      <c r="AA38" s="437"/>
      <c r="AB38" s="437"/>
      <c r="AC38" s="437"/>
      <c r="AD38" s="437">
        <v>20</v>
      </c>
      <c r="AE38" s="437"/>
      <c r="AF38" s="437"/>
      <c r="AG38" s="437"/>
      <c r="AH38" s="437"/>
    </row>
    <row r="39" spans="2:34" ht="18.75" x14ac:dyDescent="0.3">
      <c r="B39" s="280" t="str">
        <f>"M,"&amp; AB37&amp;" (g/mol)"</f>
        <v>M,BaCl₂ (g/mol)</v>
      </c>
      <c r="C39" s="160"/>
      <c r="D39" s="265" t="str">
        <f>IF(C39="","",IF(ABS(C39-AD39)/AD39&lt;0.02,"R","F"))</f>
        <v/>
      </c>
      <c r="I39" s="18"/>
      <c r="AA39" s="437"/>
      <c r="AB39" s="437"/>
      <c r="AC39" s="437"/>
      <c r="AD39" s="437">
        <v>208.25</v>
      </c>
      <c r="AE39" s="437"/>
      <c r="AF39" s="437"/>
      <c r="AG39" s="437"/>
      <c r="AH39" s="437"/>
    </row>
    <row r="40" spans="2:34" ht="18.75" x14ac:dyDescent="0.3">
      <c r="B40" s="280" t="str">
        <f>"n,"&amp;AB37&amp;" (mol)"</f>
        <v>n,BaCl₂ (mol)</v>
      </c>
      <c r="C40" s="191"/>
      <c r="D40" s="265" t="str">
        <f>IF(C40="","",IF(ABS(C40-AD40)/AD40&lt;0.02,"R","F"))</f>
        <v/>
      </c>
      <c r="I40" s="18"/>
      <c r="AA40" s="437"/>
      <c r="AB40" s="437"/>
      <c r="AC40" s="437"/>
      <c r="AD40" s="437">
        <f>AD38/AD39</f>
        <v>9.6038415366146462E-2</v>
      </c>
      <c r="AE40" s="437"/>
      <c r="AF40" s="437"/>
      <c r="AG40" s="437"/>
      <c r="AH40" s="437"/>
    </row>
    <row r="41" spans="2:34" x14ac:dyDescent="0.25">
      <c r="B41" s="17"/>
      <c r="I41" s="18"/>
      <c r="AA41" s="437"/>
      <c r="AB41" s="437"/>
      <c r="AC41" s="437"/>
      <c r="AD41" s="437"/>
      <c r="AE41" s="437"/>
      <c r="AF41" s="437"/>
      <c r="AG41" s="437"/>
      <c r="AH41" s="437"/>
    </row>
    <row r="42" spans="2:34" x14ac:dyDescent="0.25">
      <c r="B42" s="17" t="str">
        <f>"Valgfrit: Den formelle koncentration af "&amp;AC37&amp;" kan beregnes:"</f>
        <v>Valgfrit: Den formelle koncentration af bariumchlorid kan beregnes:</v>
      </c>
      <c r="I42" s="18"/>
      <c r="AA42" s="437"/>
      <c r="AB42" s="437"/>
      <c r="AC42" s="437"/>
      <c r="AD42" s="437"/>
      <c r="AE42" s="437"/>
      <c r="AF42" s="437"/>
      <c r="AG42" s="437"/>
      <c r="AH42" s="437"/>
    </row>
    <row r="43" spans="2:34" ht="18.75" x14ac:dyDescent="0.3">
      <c r="B43" s="280" t="s">
        <v>819</v>
      </c>
      <c r="C43" s="192"/>
      <c r="D43" s="265" t="str">
        <f>IF(C43="","",IF(ABS(C43-AD43)/AD43&lt;0.02,"R","F"))</f>
        <v/>
      </c>
      <c r="I43" s="18"/>
      <c r="AA43" s="437"/>
      <c r="AB43" s="437"/>
      <c r="AC43" s="437"/>
      <c r="AD43" s="437">
        <v>0.25</v>
      </c>
      <c r="AE43" s="437"/>
      <c r="AF43" s="437"/>
      <c r="AG43" s="437"/>
      <c r="AH43" s="437"/>
    </row>
    <row r="44" spans="2:34" ht="18.75" x14ac:dyDescent="0.3">
      <c r="B44" s="280" t="str">
        <f>"c,"&amp;AB37&amp;" (mol/L)"</f>
        <v>c,BaCl₂ (mol/L)</v>
      </c>
      <c r="C44" s="193"/>
      <c r="D44" s="265" t="str">
        <f>IF(C44="","",IF(ABS(C44-AD44)/AD44&lt;0.02,"R","F"))</f>
        <v/>
      </c>
      <c r="I44" s="18"/>
      <c r="AA44" s="437"/>
      <c r="AB44" s="437"/>
      <c r="AC44" s="437"/>
      <c r="AD44" s="437">
        <f>AD40/AD43</f>
        <v>0.38415366146458585</v>
      </c>
      <c r="AE44" s="437"/>
      <c r="AF44" s="437"/>
      <c r="AG44" s="437"/>
      <c r="AH44" s="437"/>
    </row>
    <row r="45" spans="2:34" x14ac:dyDescent="0.25">
      <c r="B45" s="17"/>
      <c r="C45" s="28"/>
      <c r="D45" s="28"/>
      <c r="I45" s="18"/>
      <c r="AA45" s="437"/>
      <c r="AB45" s="437"/>
      <c r="AC45" s="437"/>
      <c r="AD45" s="437"/>
      <c r="AE45" s="437"/>
      <c r="AF45" s="437"/>
      <c r="AG45" s="437"/>
      <c r="AH45" s="437"/>
    </row>
    <row r="46" spans="2:34" x14ac:dyDescent="0.25">
      <c r="B46" s="17" t="str">
        <f>AB37&amp;" er letopløselig. Opskriv de ioner, der aktuelt er i opløsningen:"</f>
        <v>BaCl₂ er letopløselig. Opskriv de ioner, der aktuelt er i opløsningen:</v>
      </c>
      <c r="C46" s="28"/>
      <c r="D46" s="28"/>
      <c r="I46" s="18"/>
      <c r="AA46" s="437"/>
      <c r="AB46" s="437"/>
      <c r="AC46" s="437"/>
      <c r="AD46" s="437"/>
      <c r="AE46" s="437"/>
      <c r="AF46" s="437"/>
      <c r="AG46" s="437"/>
      <c r="AH46" s="437"/>
    </row>
    <row r="47" spans="2:34" x14ac:dyDescent="0.25">
      <c r="B47" s="17"/>
      <c r="C47" s="264" t="s">
        <v>807</v>
      </c>
      <c r="D47" s="281" t="s">
        <v>818</v>
      </c>
      <c r="E47" s="17"/>
      <c r="I47" s="18"/>
      <c r="AA47" s="437"/>
      <c r="AB47" s="437"/>
      <c r="AC47" s="437"/>
      <c r="AD47" s="437"/>
      <c r="AE47" s="437"/>
      <c r="AF47" s="437"/>
      <c r="AG47" s="437"/>
      <c r="AH47" s="437"/>
    </row>
    <row r="48" spans="2:34" x14ac:dyDescent="0.25">
      <c r="B48" s="266" t="s">
        <v>808</v>
      </c>
      <c r="C48" s="12"/>
      <c r="D48" s="12"/>
      <c r="E48" s="27" t="str">
        <f>IF(TYPE(_xlfn.NUMBERVALUE(LEFT(D48,1)))=1,"Du skal ikke skrive antallet af ioner foran din formel. Skriv koefficienten i rækken under","")</f>
        <v>Du skal ikke skrive antallet af ioner foran din formel. Skriv koefficienten i rækken under</v>
      </c>
      <c r="I48" s="18"/>
      <c r="AA48" s="437" t="s">
        <v>301</v>
      </c>
      <c r="AB48" s="437" t="s">
        <v>809</v>
      </c>
      <c r="AC48" s="437" t="s">
        <v>436</v>
      </c>
      <c r="AD48" s="437" t="s">
        <v>325</v>
      </c>
      <c r="AE48" s="437"/>
      <c r="AF48" s="437"/>
      <c r="AG48" s="437"/>
      <c r="AH48" s="437"/>
    </row>
    <row r="49" spans="2:34" ht="18.75" x14ac:dyDescent="0.3">
      <c r="B49" s="266" t="s">
        <v>817</v>
      </c>
      <c r="C49" s="265" t="str">
        <f>IF(OR(TRIM(C48)=AA48,C48=AB48),"R",IF(TRIM(C48)="","","F"))</f>
        <v/>
      </c>
      <c r="D49" s="265" t="str">
        <f>IF(OR(TRIM(D48)=AC48,D48=AD48),"R",IF(TRIM(D48)="","","F"))</f>
        <v/>
      </c>
      <c r="E49" t="str">
        <f>IF(D49="F","Den ion du har opskrevet findes ikke. Slå eventuelt op tabellen på s. 197 Basiskemi C","")</f>
        <v/>
      </c>
      <c r="I49" s="18"/>
      <c r="AA49" s="437"/>
      <c r="AB49" s="437"/>
      <c r="AC49" s="437"/>
      <c r="AD49" s="437"/>
      <c r="AE49" s="437"/>
      <c r="AF49" s="437"/>
      <c r="AG49" s="437"/>
      <c r="AH49" s="437"/>
    </row>
    <row r="50" spans="2:34" x14ac:dyDescent="0.25">
      <c r="B50" s="266" t="s">
        <v>810</v>
      </c>
      <c r="C50" s="12"/>
      <c r="D50" s="12"/>
      <c r="E50" s="27"/>
      <c r="I50" s="18"/>
      <c r="AA50" s="437">
        <v>1</v>
      </c>
      <c r="AB50" s="437">
        <v>2</v>
      </c>
      <c r="AC50" s="437"/>
      <c r="AD50" s="437"/>
      <c r="AE50" s="437"/>
      <c r="AF50" s="437"/>
      <c r="AG50" s="437"/>
      <c r="AH50" s="437"/>
    </row>
    <row r="51" spans="2:34" ht="18.75" x14ac:dyDescent="0.3">
      <c r="B51" s="266" t="s">
        <v>816</v>
      </c>
      <c r="C51" s="265" t="str">
        <f>IF(C50="","",IF(C50=AA50,"R","F"))</f>
        <v/>
      </c>
      <c r="D51" s="265" t="str">
        <f>IF(D50="","",IF(D50=AB50,"R","F"))</f>
        <v/>
      </c>
      <c r="I51" s="18"/>
      <c r="AA51" s="437"/>
      <c r="AB51" s="437"/>
      <c r="AC51" s="437"/>
      <c r="AD51" s="437"/>
      <c r="AE51" s="437"/>
      <c r="AF51" s="437"/>
      <c r="AG51" s="437"/>
      <c r="AH51" s="437"/>
    </row>
    <row r="52" spans="2:34" x14ac:dyDescent="0.25">
      <c r="B52" s="17"/>
      <c r="I52" s="18"/>
      <c r="AA52" s="437"/>
      <c r="AB52" s="437"/>
      <c r="AC52" s="437"/>
      <c r="AD52" s="437"/>
      <c r="AE52" s="437"/>
      <c r="AF52" s="437"/>
      <c r="AG52" s="437"/>
      <c r="AH52" s="437"/>
    </row>
    <row r="53" spans="2:34" ht="18.75" x14ac:dyDescent="0.25">
      <c r="B53" s="287" t="s">
        <v>811</v>
      </c>
      <c r="C53" s="288" t="str">
        <f>AB37&amp;" (s)"</f>
        <v>BaCl₂ (s)</v>
      </c>
      <c r="D53" s="288" t="s">
        <v>48</v>
      </c>
      <c r="E53" s="289" t="str">
        <f>IF(C49="r",IF(C51="R",IF(C50&lt;&gt;1,C50&amp;" ",""),"")&amp;AA48&amp;" (aq)    +","")</f>
        <v/>
      </c>
      <c r="F53" s="275" t="str">
        <f>IF(D49="r",IF(D51="R",IF(D50&lt;&gt;1,D50&amp;" ",""),"")&amp;AC48&amp;" (aq)","")</f>
        <v/>
      </c>
      <c r="I53" s="18"/>
      <c r="AA53" s="437"/>
      <c r="AB53" s="437"/>
      <c r="AC53" s="437"/>
      <c r="AD53" s="437"/>
      <c r="AE53" s="437"/>
      <c r="AF53" s="437"/>
      <c r="AG53" s="437"/>
      <c r="AH53" s="437"/>
    </row>
    <row r="54" spans="2:34" x14ac:dyDescent="0.25">
      <c r="B54" s="290" t="s">
        <v>812</v>
      </c>
      <c r="C54" s="497" t="str">
        <f>IF(D40="R",C40,"")</f>
        <v/>
      </c>
      <c r="D54" s="498"/>
      <c r="E54" s="291">
        <v>0</v>
      </c>
      <c r="F54" s="291">
        <v>0</v>
      </c>
      <c r="I54" s="18"/>
      <c r="AA54" s="437"/>
      <c r="AB54" s="437"/>
      <c r="AC54" s="437"/>
      <c r="AD54" s="437"/>
      <c r="AE54" s="437"/>
      <c r="AF54" s="437"/>
      <c r="AG54" s="437"/>
      <c r="AH54" s="437"/>
    </row>
    <row r="55" spans="2:34" x14ac:dyDescent="0.25">
      <c r="B55" s="290" t="s">
        <v>813</v>
      </c>
      <c r="C55" s="495">
        <v>0</v>
      </c>
      <c r="D55" s="496"/>
      <c r="E55" s="194"/>
      <c r="F55" s="194"/>
      <c r="I55" s="18"/>
      <c r="AA55" s="437">
        <v>0</v>
      </c>
      <c r="AB55" s="437"/>
      <c r="AC55" s="437">
        <f>AD40</f>
        <v>9.6038415366146462E-2</v>
      </c>
      <c r="AD55" s="437">
        <f>AD40*2</f>
        <v>0.19207683073229292</v>
      </c>
      <c r="AE55" s="437"/>
      <c r="AF55" s="437"/>
      <c r="AG55" s="437"/>
      <c r="AH55" s="437"/>
    </row>
    <row r="56" spans="2:34" ht="18.75" x14ac:dyDescent="0.3">
      <c r="B56" s="268" t="s">
        <v>815</v>
      </c>
      <c r="E56" s="265" t="str">
        <f>IF(E55="","",IF(ABS(E55-AC55)/AC55&lt;0.02,"R","F"))</f>
        <v/>
      </c>
      <c r="F56" s="265" t="str">
        <f>IF(F55="","",IF(ABS(F55-AD55)/AD55&lt;0.02,"R","F"))</f>
        <v/>
      </c>
      <c r="G56" s="79"/>
      <c r="I56" s="18"/>
      <c r="AA56" s="437"/>
      <c r="AB56" s="437"/>
      <c r="AC56" s="437"/>
      <c r="AD56" s="437"/>
      <c r="AE56" s="437"/>
      <c r="AF56" s="437"/>
      <c r="AG56" s="437"/>
      <c r="AH56" s="437"/>
    </row>
    <row r="57" spans="2:34" x14ac:dyDescent="0.25">
      <c r="B57" s="17"/>
      <c r="C57" s="28"/>
      <c r="D57" s="28"/>
      <c r="E57" s="195"/>
      <c r="F57" s="434"/>
      <c r="I57" s="18"/>
      <c r="AA57" s="437"/>
      <c r="AB57" s="437"/>
      <c r="AC57" s="437"/>
      <c r="AD57" s="437"/>
      <c r="AE57" s="437"/>
      <c r="AF57" s="437"/>
      <c r="AG57" s="437"/>
      <c r="AH57" s="437"/>
    </row>
    <row r="58" spans="2:34" x14ac:dyDescent="0.25">
      <c r="B58" s="17"/>
      <c r="C58" s="281" t="str" cm="1">
        <f t="array" ref="C58">IF(AND(C49:D49="R"),"["&amp;AB37&amp;"]","")</f>
        <v/>
      </c>
      <c r="D58" s="264" t="str" cm="1">
        <f t="array" ref="D58">IF(AND(C49:D49="R"),"["&amp;AA48&amp;"]","")</f>
        <v/>
      </c>
      <c r="E58" s="292" t="str" cm="1">
        <f t="array" ref="E58">IF(AND(C49:D49="R"),"["&amp;AC48&amp;"]","")</f>
        <v/>
      </c>
      <c r="F58" s="17"/>
      <c r="I58" s="18"/>
      <c r="AA58" s="437"/>
      <c r="AB58" s="437"/>
      <c r="AC58" s="437"/>
      <c r="AD58" s="437"/>
      <c r="AE58" s="437"/>
      <c r="AF58" s="437"/>
      <c r="AG58" s="437"/>
      <c r="AH58" s="437"/>
    </row>
    <row r="59" spans="2:34" x14ac:dyDescent="0.25">
      <c r="B59" s="266" t="s">
        <v>814</v>
      </c>
      <c r="C59" s="193"/>
      <c r="D59" s="193"/>
      <c r="E59" s="193"/>
      <c r="I59" s="18"/>
      <c r="AA59" s="437">
        <v>0</v>
      </c>
      <c r="AB59" s="437"/>
      <c r="AC59" s="437">
        <f>AC55/AD43</f>
        <v>0.38415366146458585</v>
      </c>
      <c r="AD59" s="437">
        <f>AD55/AD43</f>
        <v>0.7683073229291717</v>
      </c>
      <c r="AE59" s="437"/>
      <c r="AF59" s="437"/>
      <c r="AG59" s="437"/>
      <c r="AH59" s="437"/>
    </row>
    <row r="60" spans="2:34" ht="18.75" x14ac:dyDescent="0.3">
      <c r="B60" s="266" t="s">
        <v>123</v>
      </c>
      <c r="C60" s="379" t="str">
        <f>IF(C59="","",IF(C59=AA59,"R","F"))</f>
        <v/>
      </c>
      <c r="D60" s="265" t="str">
        <f>IF(D59="","",IF(ABS(D59-AC59)/AC59&lt;0.02,"R","F"))</f>
        <v/>
      </c>
      <c r="E60" s="265" t="str">
        <f>IF(E59="","",IF(ABS(E59-AD59)/AD59&lt;0.02,"R","F"))</f>
        <v/>
      </c>
      <c r="I60" s="18"/>
      <c r="AA60" s="437"/>
      <c r="AB60" s="437"/>
      <c r="AC60" s="437"/>
      <c r="AD60" s="437"/>
      <c r="AE60" s="437"/>
      <c r="AF60" s="437"/>
      <c r="AG60" s="437"/>
      <c r="AH60" s="437"/>
    </row>
    <row r="61" spans="2:34" x14ac:dyDescent="0.25">
      <c r="B61" s="17"/>
      <c r="I61" s="18"/>
      <c r="AA61" s="437"/>
      <c r="AB61" s="437"/>
      <c r="AC61" s="437"/>
      <c r="AD61" s="437"/>
      <c r="AE61" s="437"/>
      <c r="AF61" s="437"/>
      <c r="AG61" s="437"/>
      <c r="AH61" s="437"/>
    </row>
    <row r="62" spans="2:34" x14ac:dyDescent="0.25">
      <c r="B62" s="19"/>
      <c r="C62" s="20"/>
      <c r="D62" s="20"/>
      <c r="E62" s="20"/>
      <c r="F62" s="20"/>
      <c r="G62" s="20"/>
      <c r="H62" s="20"/>
      <c r="I62" s="21"/>
      <c r="AA62" s="437"/>
      <c r="AB62" s="437"/>
      <c r="AC62" s="437"/>
      <c r="AD62" s="437"/>
      <c r="AE62" s="437"/>
      <c r="AF62" s="437"/>
      <c r="AG62" s="437"/>
      <c r="AH62" s="437"/>
    </row>
    <row r="63" spans="2:34" x14ac:dyDescent="0.25">
      <c r="B63" s="200"/>
      <c r="C63" s="201"/>
      <c r="D63" s="201"/>
      <c r="E63" s="201"/>
      <c r="F63" s="201"/>
      <c r="G63" s="201"/>
      <c r="H63" s="201"/>
      <c r="I63" s="202"/>
      <c r="AA63" s="437"/>
      <c r="AB63" s="437"/>
      <c r="AC63" s="437"/>
      <c r="AD63" s="437"/>
      <c r="AE63" s="437"/>
      <c r="AF63" s="437"/>
      <c r="AG63" s="437"/>
      <c r="AH63" s="437"/>
    </row>
    <row r="64" spans="2:34" x14ac:dyDescent="0.25">
      <c r="B64" s="17" t="str">
        <f>"2) En kemiker opløser 40,0 gram "&amp;AC67&amp;" i en 500 mL målekolbe og fylder op til stregen med vand. Beregn de aktuelle koncentrationer i opløsningen."</f>
        <v>2) En kemiker opløser 40,0 gram natriumsulfit i en 500 mL målekolbe og fylder op til stregen med vand. Beregn de aktuelle koncentrationer i opløsningen.</v>
      </c>
      <c r="I64" s="18"/>
      <c r="AA64" s="437"/>
      <c r="AB64" s="437"/>
      <c r="AC64" s="437"/>
      <c r="AD64" s="437"/>
      <c r="AE64" s="437"/>
      <c r="AF64" s="437"/>
      <c r="AG64" s="437"/>
      <c r="AH64" s="437"/>
    </row>
    <row r="65" spans="1:34" x14ac:dyDescent="0.25">
      <c r="A65" s="18"/>
      <c r="AA65" s="437"/>
      <c r="AB65" s="437"/>
      <c r="AC65" s="437"/>
      <c r="AD65" s="437"/>
      <c r="AE65" s="437"/>
      <c r="AF65" s="437"/>
      <c r="AG65" s="437"/>
      <c r="AH65" s="437"/>
    </row>
    <row r="66" spans="1:34" x14ac:dyDescent="0.25">
      <c r="B66" s="17" t="str">
        <f>"Først beregnes stofmængden af "&amp;AC67&amp;" :"</f>
        <v>Først beregnes stofmængden af natriumsulfit :</v>
      </c>
      <c r="I66" s="18"/>
      <c r="AA66" s="437"/>
      <c r="AB66" s="437"/>
      <c r="AC66" s="437"/>
      <c r="AD66" s="437"/>
      <c r="AE66" s="437"/>
      <c r="AF66" s="437"/>
      <c r="AG66" s="437"/>
      <c r="AH66" s="437"/>
    </row>
    <row r="67" spans="1:34" x14ac:dyDescent="0.25">
      <c r="B67" s="286" t="s">
        <v>643</v>
      </c>
      <c r="C67" s="286" t="s">
        <v>642</v>
      </c>
      <c r="D67" s="286" t="s">
        <v>123</v>
      </c>
      <c r="I67" s="18"/>
      <c r="AA67" s="437"/>
      <c r="AB67" s="437" t="s">
        <v>929</v>
      </c>
      <c r="AC67" s="437" t="s">
        <v>930</v>
      </c>
      <c r="AD67" s="437"/>
      <c r="AE67" s="437"/>
      <c r="AF67" s="437"/>
      <c r="AG67" s="437"/>
      <c r="AH67" s="437"/>
    </row>
    <row r="68" spans="1:34" ht="18.75" x14ac:dyDescent="0.3">
      <c r="B68" s="280" t="str">
        <f>"m,"&amp;AB67&amp;" (g)"</f>
        <v>m,Na₂SO₃ (g)</v>
      </c>
      <c r="C68" s="145"/>
      <c r="D68" s="265" t="str">
        <f>IF(C68="","",IF(ABS(C68-AD68)/AD68&lt;0.02,"R","F"))</f>
        <v/>
      </c>
      <c r="I68" s="18"/>
      <c r="AA68" s="437"/>
      <c r="AB68" s="437"/>
      <c r="AC68" s="437"/>
      <c r="AD68" s="437">
        <v>40</v>
      </c>
      <c r="AE68" s="437"/>
      <c r="AF68" s="437"/>
      <c r="AG68" s="437"/>
      <c r="AH68" s="437"/>
    </row>
    <row r="69" spans="1:34" ht="18.75" x14ac:dyDescent="0.3">
      <c r="B69" s="280" t="str">
        <f>"M,"&amp; AB67&amp;" (g/mol)"</f>
        <v>M,Na₂SO₃ (g/mol)</v>
      </c>
      <c r="C69" s="160"/>
      <c r="D69" s="265" t="str">
        <f>IF(C69="","",IF(ABS(C69-AD69)/AD69&lt;0.02,"R","F"))</f>
        <v/>
      </c>
      <c r="I69" s="18"/>
      <c r="AA69" s="437"/>
      <c r="AB69" s="437"/>
      <c r="AC69" s="437"/>
      <c r="AD69" s="437">
        <v>126.04</v>
      </c>
      <c r="AE69" s="437"/>
      <c r="AF69" s="437"/>
      <c r="AG69" s="437"/>
      <c r="AH69" s="437"/>
    </row>
    <row r="70" spans="1:34" ht="18.75" x14ac:dyDescent="0.3">
      <c r="B70" s="280" t="str">
        <f>"n,"&amp;AB67&amp;" (mol)"</f>
        <v>n,Na₂SO₃ (mol)</v>
      </c>
      <c r="C70" s="199"/>
      <c r="D70" s="265" t="str">
        <f>IF(C70="","",IF(ABS(C70-AD70)/AD70&lt;0.02,"R","F"))</f>
        <v/>
      </c>
      <c r="I70" s="18"/>
      <c r="AA70" s="437"/>
      <c r="AB70" s="437"/>
      <c r="AC70" s="437"/>
      <c r="AD70" s="437">
        <f>AD68/AD69</f>
        <v>0.31735956839098695</v>
      </c>
      <c r="AE70" s="437"/>
      <c r="AF70" s="437"/>
      <c r="AG70" s="437"/>
      <c r="AH70" s="437"/>
    </row>
    <row r="71" spans="1:34" x14ac:dyDescent="0.25">
      <c r="B71" s="17"/>
      <c r="I71" s="18"/>
      <c r="AA71" s="437"/>
      <c r="AB71" s="437"/>
      <c r="AC71" s="437"/>
      <c r="AD71" s="437"/>
      <c r="AE71" s="437"/>
      <c r="AF71" s="437"/>
      <c r="AG71" s="437"/>
      <c r="AH71" s="437"/>
    </row>
    <row r="72" spans="1:34" x14ac:dyDescent="0.25">
      <c r="B72" s="17" t="str">
        <f>"Valgfrit: Den formelle koncentration af "&amp;AC67&amp;" kan beregnes:"</f>
        <v>Valgfrit: Den formelle koncentration af natriumsulfit kan beregnes:</v>
      </c>
      <c r="I72" s="18"/>
      <c r="AA72" s="437"/>
      <c r="AB72" s="437"/>
      <c r="AC72" s="437"/>
      <c r="AD72" s="437"/>
      <c r="AE72" s="437"/>
      <c r="AF72" s="437"/>
      <c r="AG72" s="437"/>
      <c r="AH72" s="437"/>
    </row>
    <row r="73" spans="1:34" ht="18.75" x14ac:dyDescent="0.3">
      <c r="B73" s="280" t="s">
        <v>819</v>
      </c>
      <c r="C73" s="192"/>
      <c r="D73" s="265" t="str">
        <f>IF(C73="","",IF(ABS(C73-AD73)/AD73&lt;0.02,"R","F"))</f>
        <v/>
      </c>
      <c r="I73" s="18"/>
      <c r="AA73" s="437"/>
      <c r="AB73" s="437"/>
      <c r="AC73" s="437"/>
      <c r="AD73" s="437">
        <v>0.5</v>
      </c>
      <c r="AE73" s="437"/>
      <c r="AF73" s="437"/>
      <c r="AG73" s="437"/>
      <c r="AH73" s="437"/>
    </row>
    <row r="74" spans="1:34" ht="18.75" x14ac:dyDescent="0.3">
      <c r="B74" s="280" t="str">
        <f>"c,"&amp;AB67&amp;" (mol/L)"</f>
        <v>c,Na₂SO₃ (mol/L)</v>
      </c>
      <c r="C74" s="193"/>
      <c r="D74" s="265" t="str">
        <f>IF(C74="","",IF(ABS(C74-AD74)/AD74&lt;0.02,"R","F"))</f>
        <v/>
      </c>
      <c r="I74" s="18"/>
      <c r="AA74" s="437"/>
      <c r="AB74" s="437"/>
      <c r="AC74" s="437"/>
      <c r="AD74" s="437">
        <f>AD70/AD73</f>
        <v>0.63471913678197389</v>
      </c>
      <c r="AE74" s="437"/>
      <c r="AF74" s="437"/>
      <c r="AG74" s="437"/>
      <c r="AH74" s="437"/>
    </row>
    <row r="75" spans="1:34" x14ac:dyDescent="0.25">
      <c r="B75" s="17"/>
      <c r="C75" s="28"/>
      <c r="D75" s="28"/>
      <c r="I75" s="18"/>
      <c r="AA75" s="437"/>
      <c r="AB75" s="437"/>
      <c r="AC75" s="437"/>
      <c r="AD75" s="437"/>
      <c r="AE75" s="437"/>
      <c r="AF75" s="437"/>
      <c r="AG75" s="437"/>
      <c r="AH75" s="437"/>
    </row>
    <row r="76" spans="1:34" x14ac:dyDescent="0.25">
      <c r="B76" s="17" t="str">
        <f>AB67&amp;" er letopløselig. Opskriv de ioner, der aktuelt er i opløsningen:"</f>
        <v>Na₂SO₃ er letopløselig. Opskriv de ioner, der aktuelt er i opløsningen:</v>
      </c>
      <c r="C76" s="28"/>
      <c r="D76" s="28"/>
      <c r="I76" s="18"/>
      <c r="AA76" s="437"/>
      <c r="AB76" s="437"/>
      <c r="AC76" s="437"/>
      <c r="AD76" s="437"/>
      <c r="AE76" s="437"/>
      <c r="AF76" s="437"/>
      <c r="AG76" s="437"/>
      <c r="AH76" s="437"/>
    </row>
    <row r="77" spans="1:34" x14ac:dyDescent="0.25">
      <c r="B77" s="17"/>
      <c r="C77" s="264" t="s">
        <v>807</v>
      </c>
      <c r="D77" s="281" t="s">
        <v>818</v>
      </c>
      <c r="E77" s="17"/>
      <c r="I77" s="18"/>
      <c r="AA77" s="437"/>
      <c r="AB77" s="437"/>
      <c r="AC77" s="437"/>
      <c r="AD77" s="437"/>
      <c r="AE77" s="437"/>
      <c r="AF77" s="437"/>
      <c r="AG77" s="437"/>
      <c r="AH77" s="437"/>
    </row>
    <row r="78" spans="1:34" x14ac:dyDescent="0.25">
      <c r="B78" s="266" t="s">
        <v>808</v>
      </c>
      <c r="C78" s="12"/>
      <c r="D78" s="12"/>
      <c r="E78" s="27" t="str">
        <f>IF(TYPE(_xlfn.NUMBERVALUE(LEFT(D78,1)))=1,"Du skal ikke skrive antallet af ioner foran din formel. Skriv koefficienten i rækken under","")</f>
        <v>Du skal ikke skrive antallet af ioner foran din formel. Skriv koefficienten i rækken under</v>
      </c>
      <c r="I78" s="18"/>
      <c r="AA78" s="437" t="s">
        <v>136</v>
      </c>
      <c r="AB78" s="437" t="s">
        <v>352</v>
      </c>
      <c r="AC78" s="437" t="s">
        <v>468</v>
      </c>
      <c r="AD78" s="437" t="s">
        <v>417</v>
      </c>
      <c r="AE78" s="437"/>
      <c r="AF78" s="437"/>
      <c r="AG78" s="437"/>
      <c r="AH78" s="437"/>
    </row>
    <row r="79" spans="1:34" ht="18.75" x14ac:dyDescent="0.3">
      <c r="B79" s="266" t="s">
        <v>817</v>
      </c>
      <c r="C79" s="265" t="str">
        <f>IF(OR(TRIM(C78)=AA78,C78=AB78),"R",IF(TRIM(C78)="","","F"))</f>
        <v/>
      </c>
      <c r="D79" s="265" t="str">
        <f>IF(OR(TRIM(D78)=AC78,D78=AD78),"R",IF(TRIM(D78)="","","F"))</f>
        <v/>
      </c>
      <c r="E79" t="str">
        <f>IF(D79="F","Den ion du har opskrevet findes ikke. Slå eventuelt op tabellen på s. 197 Basiskemi C","")</f>
        <v/>
      </c>
      <c r="I79" s="18"/>
      <c r="AA79" s="437"/>
      <c r="AB79" s="437"/>
      <c r="AC79" s="437"/>
      <c r="AD79" s="437"/>
      <c r="AE79" s="437"/>
      <c r="AF79" s="437"/>
      <c r="AG79" s="437"/>
      <c r="AH79" s="437"/>
    </row>
    <row r="80" spans="1:34" x14ac:dyDescent="0.25">
      <c r="B80" s="266" t="s">
        <v>810</v>
      </c>
      <c r="C80" s="12"/>
      <c r="D80" s="12"/>
      <c r="E80" s="27"/>
      <c r="I80" s="18"/>
      <c r="AA80" s="437">
        <v>2</v>
      </c>
      <c r="AB80" s="437">
        <v>1</v>
      </c>
      <c r="AC80" s="437"/>
      <c r="AD80" s="437"/>
      <c r="AE80" s="437"/>
      <c r="AF80" s="437"/>
      <c r="AG80" s="437"/>
      <c r="AH80" s="437"/>
    </row>
    <row r="81" spans="2:34" ht="18.75" x14ac:dyDescent="0.3">
      <c r="B81" s="266" t="s">
        <v>816</v>
      </c>
      <c r="C81" s="265" t="str">
        <f>IF(C80="","",IF(C80=AA80,"R","F"))</f>
        <v/>
      </c>
      <c r="D81" s="265" t="str">
        <f>IF(D80="","",IF(D80=AB80,"R","F"))</f>
        <v/>
      </c>
      <c r="I81" s="18"/>
      <c r="AA81" s="437"/>
      <c r="AB81" s="437"/>
      <c r="AC81" s="437"/>
      <c r="AD81" s="437"/>
      <c r="AE81" s="437"/>
      <c r="AF81" s="437"/>
      <c r="AG81" s="437"/>
      <c r="AH81" s="437"/>
    </row>
    <row r="82" spans="2:34" x14ac:dyDescent="0.25">
      <c r="B82" s="17"/>
      <c r="I82" s="18"/>
      <c r="AA82" s="437"/>
      <c r="AB82" s="437"/>
      <c r="AC82" s="437"/>
      <c r="AD82" s="437"/>
      <c r="AE82" s="437"/>
      <c r="AF82" s="437"/>
      <c r="AG82" s="437"/>
      <c r="AH82" s="437"/>
    </row>
    <row r="83" spans="2:34" ht="18.75" x14ac:dyDescent="0.25">
      <c r="B83" s="287" t="s">
        <v>811</v>
      </c>
      <c r="C83" s="288" t="str">
        <f>AB67&amp;" (s)"</f>
        <v>Na₂SO₃ (s)</v>
      </c>
      <c r="D83" s="288" t="s">
        <v>48</v>
      </c>
      <c r="E83" s="289" t="str">
        <f>IF(C79="r",IF(C81="R",IF(C80&lt;&gt;1,C80&amp;" ",""),"")&amp;AA78&amp;" (aq)    +","")</f>
        <v/>
      </c>
      <c r="F83" s="275" t="str">
        <f>IF(D79="r",IF(D81="R",IF(D80&lt;&gt;1,D80&amp;" ",""),"")&amp;AC78&amp;" (aq)","")</f>
        <v/>
      </c>
      <c r="I83" s="18"/>
      <c r="AA83" s="437"/>
      <c r="AB83" s="437"/>
      <c r="AC83" s="437"/>
      <c r="AD83" s="437"/>
      <c r="AE83" s="437"/>
      <c r="AF83" s="437"/>
      <c r="AG83" s="437"/>
      <c r="AH83" s="437"/>
    </row>
    <row r="84" spans="2:34" x14ac:dyDescent="0.25">
      <c r="B84" s="290" t="s">
        <v>812</v>
      </c>
      <c r="C84" s="497" t="str">
        <f>IF(D70="R",C70,"")</f>
        <v/>
      </c>
      <c r="D84" s="498"/>
      <c r="E84" s="291">
        <v>0</v>
      </c>
      <c r="F84" s="291">
        <v>0</v>
      </c>
      <c r="I84" s="18"/>
      <c r="AA84" s="437"/>
      <c r="AB84" s="437"/>
      <c r="AC84" s="437"/>
      <c r="AD84" s="437"/>
      <c r="AE84" s="437"/>
      <c r="AF84" s="437"/>
      <c r="AG84" s="437"/>
      <c r="AH84" s="437"/>
    </row>
    <row r="85" spans="2:34" x14ac:dyDescent="0.25">
      <c r="B85" s="290" t="s">
        <v>813</v>
      </c>
      <c r="C85" s="495">
        <v>0</v>
      </c>
      <c r="D85" s="496"/>
      <c r="E85" s="206"/>
      <c r="F85" s="206"/>
      <c r="I85" s="18"/>
      <c r="AA85" s="437">
        <v>0</v>
      </c>
      <c r="AB85" s="437"/>
      <c r="AC85" s="437">
        <f>AD70*AA80</f>
        <v>0.63471913678197389</v>
      </c>
      <c r="AD85" s="437">
        <f>AD70*AB80</f>
        <v>0.31735956839098695</v>
      </c>
      <c r="AE85" s="437"/>
      <c r="AF85" s="437"/>
      <c r="AG85" s="437"/>
      <c r="AH85" s="437"/>
    </row>
    <row r="86" spans="2:34" ht="18.75" x14ac:dyDescent="0.3">
      <c r="B86" s="268" t="s">
        <v>815</v>
      </c>
      <c r="E86" s="265" t="str">
        <f>IF(E85="","",IF(ABS(E85-AC85)/AC85&lt;0.02,"R","F"))</f>
        <v/>
      </c>
      <c r="F86" s="265" t="str">
        <f>IF(F85="","",IF(ABS(F85-AD85)/AD85&lt;0.02,"R","F"))</f>
        <v/>
      </c>
      <c r="G86" s="79"/>
      <c r="I86" s="18"/>
      <c r="AA86" s="437"/>
      <c r="AB86" s="437"/>
      <c r="AC86" s="437"/>
      <c r="AD86" s="437"/>
      <c r="AE86" s="437"/>
      <c r="AF86" s="437"/>
      <c r="AG86" s="437"/>
      <c r="AH86" s="437"/>
    </row>
    <row r="87" spans="2:34" x14ac:dyDescent="0.25">
      <c r="B87" s="17"/>
      <c r="C87" s="28"/>
      <c r="D87" s="28"/>
      <c r="E87" s="195"/>
      <c r="F87" s="434"/>
      <c r="I87" s="18"/>
      <c r="AA87" s="437"/>
      <c r="AB87" s="437"/>
      <c r="AC87" s="437"/>
      <c r="AD87" s="437"/>
      <c r="AE87" s="437"/>
      <c r="AF87" s="437"/>
      <c r="AG87" s="437"/>
      <c r="AH87" s="437"/>
    </row>
    <row r="88" spans="2:34" x14ac:dyDescent="0.25">
      <c r="B88" s="17"/>
      <c r="C88" s="432" t="str" cm="1">
        <f t="array" ref="C88">IF(AND(C79:D79="R"),"["&amp;AB67&amp;"]","")</f>
        <v/>
      </c>
      <c r="D88" s="264" t="str" cm="1">
        <f t="array" ref="D88">IF(AND(C79:D79="R"),"["&amp;AA78&amp;"]","")</f>
        <v/>
      </c>
      <c r="E88" s="292" t="str" cm="1">
        <f t="array" ref="E88">IF(AND(C79:D79="R"),"["&amp;AC78&amp;"]","")</f>
        <v/>
      </c>
      <c r="F88" s="17"/>
      <c r="I88" s="18"/>
      <c r="AA88" s="437"/>
      <c r="AB88" s="437"/>
      <c r="AC88" s="437"/>
      <c r="AD88" s="437"/>
      <c r="AE88" s="437"/>
      <c r="AF88" s="437"/>
      <c r="AG88" s="437"/>
      <c r="AH88" s="437"/>
    </row>
    <row r="89" spans="2:34" x14ac:dyDescent="0.25">
      <c r="B89" s="266" t="s">
        <v>814</v>
      </c>
      <c r="C89" s="367"/>
      <c r="D89" s="193"/>
      <c r="E89" s="193"/>
      <c r="I89" s="18"/>
      <c r="AA89" s="437">
        <v>0</v>
      </c>
      <c r="AB89" s="437"/>
      <c r="AC89" s="437">
        <f>AC85/AD73</f>
        <v>1.2694382735639478</v>
      </c>
      <c r="AD89" s="437">
        <f>AD85/AD73</f>
        <v>0.63471913678197389</v>
      </c>
      <c r="AE89" s="437"/>
      <c r="AF89" s="437"/>
      <c r="AG89" s="437"/>
      <c r="AH89" s="437"/>
    </row>
    <row r="90" spans="2:34" ht="18.75" x14ac:dyDescent="0.3">
      <c r="B90" s="266" t="s">
        <v>123</v>
      </c>
      <c r="C90" s="431" t="str">
        <f>IF(C89="","",IF(C89=AA89,"R","F"))</f>
        <v/>
      </c>
      <c r="D90" s="265" t="str">
        <f>IF(D89="","",IF(ABS(D89-AC89)/AC89&lt;0.02,"R","F"))</f>
        <v/>
      </c>
      <c r="E90" s="265" t="str">
        <f>IF(E89="","",IF(ABS(E89-AD89)/AD89&lt;0.02,"R","F"))</f>
        <v/>
      </c>
      <c r="I90" s="18"/>
      <c r="AA90" s="437"/>
      <c r="AB90" s="437"/>
      <c r="AC90" s="437"/>
      <c r="AD90" s="437"/>
      <c r="AE90" s="437"/>
      <c r="AF90" s="437"/>
      <c r="AG90" s="437"/>
      <c r="AH90" s="437"/>
    </row>
    <row r="91" spans="2:34" x14ac:dyDescent="0.25">
      <c r="B91" s="17"/>
      <c r="I91" s="18"/>
      <c r="AA91" s="437"/>
      <c r="AB91" s="437"/>
      <c r="AC91" s="437"/>
      <c r="AD91" s="437"/>
      <c r="AE91" s="437"/>
      <c r="AF91" s="437"/>
      <c r="AG91" s="437"/>
      <c r="AH91" s="437"/>
    </row>
    <row r="92" spans="2:34" x14ac:dyDescent="0.25">
      <c r="B92" s="19"/>
      <c r="C92" s="20"/>
      <c r="D92" s="20"/>
      <c r="E92" s="20"/>
      <c r="F92" s="20"/>
      <c r="G92" s="20"/>
      <c r="H92" s="20"/>
      <c r="I92" s="21"/>
      <c r="AA92" s="437"/>
      <c r="AB92" s="437"/>
      <c r="AC92" s="437"/>
      <c r="AD92" s="437"/>
      <c r="AE92" s="437"/>
      <c r="AF92" s="437"/>
      <c r="AG92" s="437"/>
      <c r="AH92" s="437"/>
    </row>
    <row r="93" spans="2:34" x14ac:dyDescent="0.25">
      <c r="B93" s="200"/>
      <c r="C93" s="201"/>
      <c r="D93" s="201"/>
      <c r="E93" s="201"/>
      <c r="F93" s="201"/>
      <c r="G93" s="201"/>
      <c r="H93" s="201"/>
      <c r="I93" s="202"/>
      <c r="AA93" s="437"/>
      <c r="AB93" s="437"/>
      <c r="AC93" s="437"/>
      <c r="AD93" s="437"/>
      <c r="AE93" s="437"/>
      <c r="AF93" s="437"/>
      <c r="AG93" s="437"/>
      <c r="AH93" s="437"/>
    </row>
    <row r="94" spans="2:34" x14ac:dyDescent="0.25">
      <c r="B94" s="17" t="str">
        <f>"3) En kemiker opløser 20,0 gram "&amp;AC97&amp;" i en 500 mL målekolbe og fylder op til stregen med vand. Beregn de aktuelle koncentrationer i opløsningen."</f>
        <v>3) En kemiker opløser 20,0 gram jern(III)sulfat i en 500 mL målekolbe og fylder op til stregen med vand. Beregn de aktuelle koncentrationer i opløsningen.</v>
      </c>
      <c r="I94" s="18"/>
      <c r="AA94" s="437"/>
      <c r="AB94" s="437"/>
      <c r="AC94" s="437"/>
      <c r="AD94" s="437"/>
      <c r="AE94" s="437"/>
      <c r="AF94" s="437"/>
      <c r="AG94" s="437"/>
      <c r="AH94" s="437"/>
    </row>
    <row r="95" spans="2:34" x14ac:dyDescent="0.25">
      <c r="B95" s="17"/>
      <c r="I95" s="18"/>
      <c r="AA95" s="437"/>
      <c r="AB95" s="437"/>
      <c r="AC95" s="437"/>
      <c r="AD95" s="437"/>
      <c r="AE95" s="437"/>
      <c r="AF95" s="437"/>
      <c r="AG95" s="437"/>
      <c r="AH95" s="437"/>
    </row>
    <row r="96" spans="2:34" x14ac:dyDescent="0.25">
      <c r="B96" s="17" t="str">
        <f>"Først beregnes stofmængden af "&amp;AC97&amp;" :"</f>
        <v>Først beregnes stofmængden af jern(III)sulfat :</v>
      </c>
      <c r="I96" s="18"/>
      <c r="AA96" s="437"/>
      <c r="AB96" s="437"/>
      <c r="AC96" s="437"/>
      <c r="AD96" s="437"/>
      <c r="AE96" s="437"/>
      <c r="AF96" s="437"/>
      <c r="AG96" s="437"/>
      <c r="AH96" s="437"/>
    </row>
    <row r="97" spans="2:34" x14ac:dyDescent="0.25">
      <c r="B97" s="286" t="s">
        <v>643</v>
      </c>
      <c r="C97" s="286" t="s">
        <v>642</v>
      </c>
      <c r="D97" s="286" t="s">
        <v>123</v>
      </c>
      <c r="I97" s="18"/>
      <c r="AA97" s="437"/>
      <c r="AB97" s="437" t="s">
        <v>448</v>
      </c>
      <c r="AC97" s="437" t="s">
        <v>377</v>
      </c>
      <c r="AD97" s="437"/>
      <c r="AE97" s="437"/>
      <c r="AF97" s="437"/>
      <c r="AG97" s="437"/>
      <c r="AH97" s="437"/>
    </row>
    <row r="98" spans="2:34" ht="18.75" x14ac:dyDescent="0.3">
      <c r="B98" s="280" t="str">
        <f>"m,"&amp;AB97&amp;" (g)"</f>
        <v>m,Fe₂(SO₄)₃ (g)</v>
      </c>
      <c r="C98" s="145"/>
      <c r="D98" s="265" t="str">
        <f>IF(C98="","",IF(ABS(C98-AD98)/AD98&lt;0.02,"R","F"))</f>
        <v/>
      </c>
      <c r="I98" s="18"/>
      <c r="AA98" s="437"/>
      <c r="AB98" s="437"/>
      <c r="AC98" s="437"/>
      <c r="AD98" s="437">
        <v>20</v>
      </c>
      <c r="AE98" s="437"/>
      <c r="AF98" s="437"/>
      <c r="AG98" s="437"/>
      <c r="AH98" s="437"/>
    </row>
    <row r="99" spans="2:34" ht="18.75" x14ac:dyDescent="0.3">
      <c r="B99" s="280" t="str">
        <f>"M,"&amp; AB97&amp;" (g/mol)"</f>
        <v>M,Fe₂(SO₄)₃ (g/mol)</v>
      </c>
      <c r="C99" s="160"/>
      <c r="D99" s="265" t="str">
        <f>IF(C99="","",IF(ABS(C99-AD99)/AD99&lt;0.02,"R","F"))</f>
        <v/>
      </c>
      <c r="I99" s="18"/>
      <c r="AA99" s="437"/>
      <c r="AB99" s="437"/>
      <c r="AC99" s="437"/>
      <c r="AD99" s="437">
        <v>399.88</v>
      </c>
      <c r="AE99" s="437"/>
      <c r="AF99" s="437"/>
      <c r="AG99" s="437"/>
      <c r="AH99" s="437"/>
    </row>
    <row r="100" spans="2:34" ht="18.75" x14ac:dyDescent="0.3">
      <c r="B100" s="280" t="str">
        <f>"n,"&amp;AB97&amp;" (mol)"</f>
        <v>n,Fe₂(SO₄)₃ (mol)</v>
      </c>
      <c r="C100" s="199"/>
      <c r="D100" s="265" t="str">
        <f>IF(C100="","",IF(ABS(C100-AD100)/AD100&lt;0.02,"R","F"))</f>
        <v/>
      </c>
      <c r="I100" s="18"/>
      <c r="AA100" s="437"/>
      <c r="AB100" s="437"/>
      <c r="AC100" s="437"/>
      <c r="AD100" s="437">
        <f>AD98/AD99</f>
        <v>5.0015004501350407E-2</v>
      </c>
      <c r="AE100" s="437"/>
      <c r="AF100" s="437"/>
      <c r="AG100" s="437"/>
      <c r="AH100" s="437"/>
    </row>
    <row r="101" spans="2:34" x14ac:dyDescent="0.25">
      <c r="B101" s="17"/>
      <c r="I101" s="18"/>
      <c r="AA101" s="437"/>
      <c r="AB101" s="437"/>
      <c r="AC101" s="437"/>
      <c r="AD101" s="437"/>
      <c r="AE101" s="437"/>
      <c r="AF101" s="437"/>
      <c r="AG101" s="437"/>
      <c r="AH101" s="437"/>
    </row>
    <row r="102" spans="2:34" x14ac:dyDescent="0.25">
      <c r="B102" s="17" t="str">
        <f>"Valgfrit: Den formelle koncentration af "&amp;AC97&amp;" kan beregnes:"</f>
        <v>Valgfrit: Den formelle koncentration af jern(III)sulfat kan beregnes:</v>
      </c>
      <c r="I102" s="18"/>
      <c r="AA102" s="437"/>
      <c r="AB102" s="437"/>
      <c r="AC102" s="437"/>
      <c r="AD102" s="437"/>
      <c r="AE102" s="437"/>
      <c r="AF102" s="437"/>
      <c r="AG102" s="437"/>
      <c r="AH102" s="437"/>
    </row>
    <row r="103" spans="2:34" ht="18.75" x14ac:dyDescent="0.3">
      <c r="B103" s="280" t="s">
        <v>819</v>
      </c>
      <c r="C103" s="192"/>
      <c r="D103" s="265" t="str">
        <f>IF(C103="","",IF(ABS(C103-AD103)/AD103&lt;0.02,"R","F"))</f>
        <v/>
      </c>
      <c r="I103" s="18"/>
      <c r="AA103" s="437"/>
      <c r="AB103" s="437"/>
      <c r="AC103" s="437"/>
      <c r="AD103" s="437">
        <v>0.5</v>
      </c>
      <c r="AE103" s="437"/>
      <c r="AF103" s="437"/>
      <c r="AG103" s="437"/>
      <c r="AH103" s="437"/>
    </row>
    <row r="104" spans="2:34" ht="18.75" x14ac:dyDescent="0.3">
      <c r="B104" s="280" t="str">
        <f>"c,"&amp;AB97&amp;" (mol/L)"</f>
        <v>c,Fe₂(SO₄)₃ (mol/L)</v>
      </c>
      <c r="C104" s="193"/>
      <c r="D104" s="265" t="str">
        <f>IF(C104="","",IF(ABS(C104-AD104)/AD104&lt;0.02,"R","F"))</f>
        <v/>
      </c>
      <c r="I104" s="18"/>
      <c r="AA104" s="437"/>
      <c r="AB104" s="437"/>
      <c r="AC104" s="437"/>
      <c r="AD104" s="437">
        <f>AD100/AD103</f>
        <v>0.10003000900270081</v>
      </c>
      <c r="AE104" s="437"/>
      <c r="AF104" s="437"/>
      <c r="AG104" s="437"/>
      <c r="AH104" s="437"/>
    </row>
    <row r="105" spans="2:34" x14ac:dyDescent="0.25">
      <c r="B105" s="17"/>
      <c r="C105" s="28"/>
      <c r="D105" s="28"/>
      <c r="I105" s="18"/>
      <c r="AA105" s="437"/>
      <c r="AB105" s="437"/>
      <c r="AC105" s="437"/>
      <c r="AD105" s="437"/>
      <c r="AE105" s="437"/>
      <c r="AF105" s="437"/>
      <c r="AG105" s="437"/>
      <c r="AH105" s="437"/>
    </row>
    <row r="106" spans="2:34" x14ac:dyDescent="0.25">
      <c r="B106" s="17" t="str">
        <f>AB97&amp;" er letopløselig. Opskriv de ioner, der aktuelt er i opløsningen:"</f>
        <v>Fe₂(SO₄)₃ er letopløselig. Opskriv de ioner, der aktuelt er i opløsningen:</v>
      </c>
      <c r="C106" s="28"/>
      <c r="D106" s="28"/>
      <c r="I106" s="18"/>
      <c r="AA106" s="437"/>
      <c r="AB106" s="437"/>
      <c r="AC106" s="437"/>
      <c r="AD106" s="437"/>
      <c r="AE106" s="437"/>
      <c r="AF106" s="437"/>
      <c r="AG106" s="437"/>
      <c r="AH106" s="437"/>
    </row>
    <row r="107" spans="2:34" x14ac:dyDescent="0.25">
      <c r="B107" s="17"/>
      <c r="C107" s="264" t="s">
        <v>807</v>
      </c>
      <c r="D107" s="281" t="s">
        <v>818</v>
      </c>
      <c r="E107" s="17"/>
      <c r="I107" s="18"/>
      <c r="AA107" s="437"/>
      <c r="AB107" s="437"/>
      <c r="AC107" s="437"/>
      <c r="AD107" s="437"/>
      <c r="AE107" s="437"/>
      <c r="AF107" s="437"/>
      <c r="AG107" s="437"/>
      <c r="AH107" s="437"/>
    </row>
    <row r="108" spans="2:34" x14ac:dyDescent="0.25">
      <c r="B108" s="266" t="s">
        <v>808</v>
      </c>
      <c r="C108" s="12"/>
      <c r="D108" s="12"/>
      <c r="E108" s="27" t="str">
        <f>IF(TYPE(_xlfn.NUMBERVALUE(LEFT(D108,1)))=1,"Du skal ikke skrive antallet af ioner foran din formel. Skriv koefficienten i rækken under","")</f>
        <v>Du skal ikke skrive antallet af ioner foran din formel. Skriv koefficienten i rækken under</v>
      </c>
      <c r="I108" s="18"/>
      <c r="AA108" s="437" t="s">
        <v>128</v>
      </c>
      <c r="AB108" s="437" t="s">
        <v>317</v>
      </c>
      <c r="AC108" s="437" t="s">
        <v>157</v>
      </c>
      <c r="AD108" s="437" t="s">
        <v>262</v>
      </c>
      <c r="AE108" s="437"/>
      <c r="AF108" s="437"/>
      <c r="AG108" s="437"/>
      <c r="AH108" s="437"/>
    </row>
    <row r="109" spans="2:34" ht="18.75" x14ac:dyDescent="0.3">
      <c r="B109" s="266" t="s">
        <v>817</v>
      </c>
      <c r="C109" s="265" t="str">
        <f>IF(OR(TRIM(C108)=AA108,C108=AB108),"R",IF(TRIM(C108)="","","F"))</f>
        <v/>
      </c>
      <c r="D109" s="265" t="str">
        <f>IF(OR(TRIM(D108)=AC108,D108=AD108),"R",IF(TRIM(D108)="","","F"))</f>
        <v/>
      </c>
      <c r="E109" t="str">
        <f>IF(D109="F","Den ion du har opskrevet findes ikke. Slå eventuelt op tabellen på s. 197 Basiskemi C","")</f>
        <v/>
      </c>
      <c r="I109" s="18"/>
      <c r="AA109" s="437"/>
      <c r="AB109" s="437"/>
      <c r="AC109" s="437"/>
      <c r="AD109" s="437"/>
      <c r="AE109" s="437"/>
      <c r="AF109" s="437"/>
      <c r="AG109" s="437"/>
      <c r="AH109" s="437"/>
    </row>
    <row r="110" spans="2:34" x14ac:dyDescent="0.25">
      <c r="B110" s="266" t="s">
        <v>810</v>
      </c>
      <c r="C110" s="12"/>
      <c r="D110" s="12"/>
      <c r="E110" s="27"/>
      <c r="I110" s="18"/>
      <c r="AA110" s="437">
        <v>2</v>
      </c>
      <c r="AB110" s="437">
        <v>3</v>
      </c>
      <c r="AC110" s="437"/>
      <c r="AD110" s="437"/>
      <c r="AE110" s="437"/>
      <c r="AF110" s="437"/>
      <c r="AG110" s="437"/>
      <c r="AH110" s="437"/>
    </row>
    <row r="111" spans="2:34" ht="18.75" x14ac:dyDescent="0.3">
      <c r="B111" s="266" t="s">
        <v>816</v>
      </c>
      <c r="C111" s="265" t="str">
        <f>IF(C110="","",IF(C110=AA110,"R","F"))</f>
        <v/>
      </c>
      <c r="D111" s="265" t="str">
        <f>IF(D110="","",IF(D110=AB110,"R","F"))</f>
        <v/>
      </c>
      <c r="I111" s="18"/>
      <c r="AA111" s="437"/>
      <c r="AB111" s="437"/>
      <c r="AC111" s="437"/>
      <c r="AD111" s="437"/>
      <c r="AE111" s="437"/>
      <c r="AF111" s="437"/>
      <c r="AG111" s="437"/>
      <c r="AH111" s="437"/>
    </row>
    <row r="112" spans="2:34" x14ac:dyDescent="0.25">
      <c r="AA112" s="437"/>
      <c r="AB112" s="437"/>
      <c r="AC112" s="437"/>
      <c r="AD112" s="437"/>
      <c r="AE112" s="437"/>
      <c r="AF112" s="437"/>
      <c r="AG112" s="437"/>
      <c r="AH112" s="437"/>
    </row>
    <row r="113" spans="2:34" ht="18.75" x14ac:dyDescent="0.25">
      <c r="B113" s="287" t="s">
        <v>811</v>
      </c>
      <c r="C113" s="288" t="str">
        <f>AB97&amp;" (s)"</f>
        <v>Fe₂(SO₄)₃ (s)</v>
      </c>
      <c r="D113" s="288" t="s">
        <v>48</v>
      </c>
      <c r="E113" s="289" t="str">
        <f>IF(C109="r",IF(C111="R",IF(C110&lt;&gt;1,C110&amp;" ",""),"")&amp;AA108&amp;" (aq)    +","")</f>
        <v/>
      </c>
      <c r="F113" s="275" t="str">
        <f>IF(D109="r",IF(D111="R",IF(D110&lt;&gt;1,D110&amp;" ",""),"")&amp;AC108&amp;" (aq)","")</f>
        <v/>
      </c>
      <c r="I113" s="18"/>
      <c r="AA113" s="437"/>
      <c r="AB113" s="437"/>
      <c r="AC113" s="437"/>
      <c r="AD113" s="437"/>
      <c r="AE113" s="437"/>
      <c r="AF113" s="437"/>
      <c r="AG113" s="437"/>
      <c r="AH113" s="437"/>
    </row>
    <row r="114" spans="2:34" x14ac:dyDescent="0.25">
      <c r="B114" s="290" t="s">
        <v>812</v>
      </c>
      <c r="C114" s="497" t="str">
        <f>IF(D100="R",C100,"")</f>
        <v/>
      </c>
      <c r="D114" s="498"/>
      <c r="E114" s="291">
        <v>0</v>
      </c>
      <c r="F114" s="291">
        <v>0</v>
      </c>
      <c r="I114" s="18"/>
      <c r="AA114" s="437"/>
      <c r="AB114" s="437"/>
      <c r="AC114" s="437"/>
      <c r="AD114" s="437"/>
      <c r="AE114" s="437"/>
      <c r="AF114" s="437"/>
      <c r="AG114" s="437"/>
      <c r="AH114" s="437"/>
    </row>
    <row r="115" spans="2:34" x14ac:dyDescent="0.25">
      <c r="B115" s="290" t="s">
        <v>813</v>
      </c>
      <c r="C115" s="495">
        <v>0</v>
      </c>
      <c r="D115" s="496"/>
      <c r="E115" s="206"/>
      <c r="F115" s="206"/>
      <c r="I115" s="18"/>
      <c r="AA115" s="437">
        <v>0</v>
      </c>
      <c r="AB115" s="437"/>
      <c r="AC115" s="437">
        <f>AD100*AA110</f>
        <v>0.10003000900270081</v>
      </c>
      <c r="AD115" s="437">
        <f>AD100*AB110</f>
        <v>0.15004501350405122</v>
      </c>
      <c r="AE115" s="437"/>
      <c r="AF115" s="437"/>
      <c r="AG115" s="437"/>
      <c r="AH115" s="437"/>
    </row>
    <row r="116" spans="2:34" ht="18.75" x14ac:dyDescent="0.3">
      <c r="B116" s="268" t="s">
        <v>815</v>
      </c>
      <c r="E116" s="265" t="str">
        <f>IF(E115="","",IF(ABS(E115-AC115)/AC115&lt;0.02,"R","F"))</f>
        <v/>
      </c>
      <c r="F116" s="265" t="str">
        <f>IF(F115="","",IF(ABS(F115-AD115)/AD115&lt;0.02,"R","F"))</f>
        <v/>
      </c>
      <c r="G116" s="79"/>
      <c r="I116" s="18"/>
      <c r="AA116" s="437"/>
      <c r="AB116" s="437"/>
      <c r="AC116" s="437"/>
      <c r="AD116" s="437"/>
      <c r="AE116" s="437"/>
      <c r="AF116" s="437"/>
      <c r="AG116" s="437"/>
      <c r="AH116" s="437"/>
    </row>
    <row r="117" spans="2:34" x14ac:dyDescent="0.25">
      <c r="B117" s="17"/>
      <c r="C117" s="28"/>
      <c r="D117" s="28"/>
      <c r="E117" s="195"/>
      <c r="F117" s="434"/>
      <c r="I117" s="18"/>
      <c r="AA117" s="437"/>
      <c r="AB117" s="437"/>
      <c r="AC117" s="437"/>
      <c r="AD117" s="437"/>
      <c r="AE117" s="437"/>
      <c r="AF117" s="437"/>
      <c r="AG117" s="437"/>
      <c r="AH117" s="437"/>
    </row>
    <row r="118" spans="2:34" x14ac:dyDescent="0.25">
      <c r="B118" s="17"/>
      <c r="C118" s="432" t="str" cm="1">
        <f t="array" ref="C118">IF(AND(C109:D109="R"),"["&amp;AB97&amp;"]","")</f>
        <v/>
      </c>
      <c r="D118" s="264" t="str" cm="1">
        <f t="array" ref="D118">IF(AND(C109:D109="R"),"["&amp;AA108&amp;"]","")</f>
        <v/>
      </c>
      <c r="E118" s="292" t="str" cm="1">
        <f t="array" ref="E118">IF(AND(C109:D109="R"),"["&amp;AC108&amp;"]","")</f>
        <v/>
      </c>
      <c r="F118" s="17"/>
      <c r="I118" s="18"/>
      <c r="AA118" s="437"/>
      <c r="AB118" s="437"/>
      <c r="AC118" s="437"/>
      <c r="AD118" s="437"/>
      <c r="AE118" s="437"/>
      <c r="AF118" s="437"/>
      <c r="AG118" s="437"/>
      <c r="AH118" s="437"/>
    </row>
    <row r="119" spans="2:34" x14ac:dyDescent="0.25">
      <c r="B119" s="266" t="s">
        <v>814</v>
      </c>
      <c r="C119" s="193"/>
      <c r="D119" s="193"/>
      <c r="E119" s="193"/>
      <c r="I119" s="18"/>
      <c r="AA119" s="437">
        <v>0</v>
      </c>
      <c r="AB119" s="437"/>
      <c r="AC119" s="437">
        <f>AC115/AD103</f>
        <v>0.20006001800540163</v>
      </c>
      <c r="AD119" s="437">
        <f>AD115/AD103</f>
        <v>0.30009002700810244</v>
      </c>
      <c r="AE119" s="437"/>
      <c r="AF119" s="437"/>
      <c r="AG119" s="437"/>
      <c r="AH119" s="437"/>
    </row>
    <row r="120" spans="2:34" ht="18.75" x14ac:dyDescent="0.3">
      <c r="B120" s="266" t="s">
        <v>123</v>
      </c>
      <c r="C120" s="431" t="str">
        <f>IF(C119="","",IF(C119=AA119,"R","F"))</f>
        <v/>
      </c>
      <c r="D120" s="265" t="str">
        <f>IF(D119="","",IF(ABS(D119-AC119)/AC119&lt;0.02,"R","F"))</f>
        <v/>
      </c>
      <c r="E120" s="265" t="str">
        <f>IF(E119="","",IF(ABS(E119-AD119)/AD119&lt;0.02,"R","F"))</f>
        <v/>
      </c>
      <c r="I120" s="18"/>
      <c r="AA120" s="437"/>
      <c r="AB120" s="437"/>
      <c r="AC120" s="437"/>
      <c r="AD120" s="437"/>
      <c r="AE120" s="437"/>
      <c r="AF120" s="437"/>
      <c r="AG120" s="437"/>
      <c r="AH120" s="437"/>
    </row>
    <row r="121" spans="2:34" x14ac:dyDescent="0.25">
      <c r="B121" s="17"/>
      <c r="I121" s="18"/>
      <c r="AA121" s="437"/>
      <c r="AB121" s="437"/>
      <c r="AC121" s="437"/>
      <c r="AD121" s="437"/>
      <c r="AE121" s="437"/>
      <c r="AF121" s="437"/>
      <c r="AG121" s="437"/>
      <c r="AH121" s="437"/>
    </row>
    <row r="122" spans="2:34" ht="15.75" thickBot="1" x14ac:dyDescent="0.3">
      <c r="B122" s="203"/>
      <c r="C122" s="204"/>
      <c r="D122" s="204"/>
      <c r="E122" s="204"/>
      <c r="F122" s="204"/>
      <c r="G122" s="204"/>
      <c r="H122" s="204"/>
      <c r="I122" s="205"/>
      <c r="AA122" s="437"/>
      <c r="AB122" s="437"/>
      <c r="AC122" s="437"/>
      <c r="AD122" s="437"/>
      <c r="AE122" s="437"/>
      <c r="AF122" s="437"/>
      <c r="AG122" s="437"/>
      <c r="AH122" s="437"/>
    </row>
    <row r="123" spans="2:34" ht="23.25" x14ac:dyDescent="0.35">
      <c r="B123" s="208" t="s">
        <v>1035</v>
      </c>
      <c r="C123" s="209"/>
      <c r="D123" s="209"/>
      <c r="E123" s="209"/>
      <c r="F123" s="209"/>
      <c r="G123" s="209"/>
      <c r="H123" s="209"/>
      <c r="I123" s="210"/>
      <c r="AA123" s="437"/>
      <c r="AB123" s="437"/>
      <c r="AC123" s="437"/>
      <c r="AD123" s="437"/>
      <c r="AE123" s="437"/>
      <c r="AF123" s="437"/>
      <c r="AG123" s="437"/>
      <c r="AH123" s="437"/>
    </row>
    <row r="124" spans="2:34" x14ac:dyDescent="0.25">
      <c r="B124" s="17" t="s">
        <v>937</v>
      </c>
      <c r="I124" s="18"/>
      <c r="AA124" s="437"/>
      <c r="AB124" s="437"/>
      <c r="AC124" s="437"/>
      <c r="AD124" s="437"/>
      <c r="AE124" s="437"/>
      <c r="AF124" s="437"/>
      <c r="AG124" s="437"/>
      <c r="AH124" s="437"/>
    </row>
    <row r="125" spans="2:34" x14ac:dyDescent="0.25">
      <c r="B125" s="17" t="str">
        <f>"1) En opløsning med 250 mL 0,100 M "&amp;AB128&amp;" blandes med 400 mL 0,200 M "&amp;AE128&amp;". Beregn de aktuelle koncentrationer for opløsningens ioner efter sammenblanding"</f>
        <v>1) En opløsning med 250 mL 0,100 M AlCl₃ blandes med 400 mL 0,200 M NaCl. Beregn de aktuelle koncentrationer for opløsningens ioner efter sammenblanding</v>
      </c>
      <c r="I125" s="18"/>
      <c r="AA125" s="437"/>
      <c r="AB125" s="437"/>
      <c r="AC125" s="437"/>
      <c r="AD125" s="437"/>
      <c r="AE125" s="437"/>
      <c r="AF125" s="437"/>
      <c r="AG125" s="437"/>
      <c r="AH125" s="437"/>
    </row>
    <row r="126" spans="2:34" x14ac:dyDescent="0.25">
      <c r="B126" s="17"/>
      <c r="I126" s="18"/>
      <c r="AA126" s="437"/>
      <c r="AB126" s="437"/>
      <c r="AC126" s="437"/>
      <c r="AD126" s="437"/>
      <c r="AE126" s="437"/>
      <c r="AF126" s="437"/>
      <c r="AG126" s="437"/>
      <c r="AH126" s="437"/>
    </row>
    <row r="127" spans="2:34" x14ac:dyDescent="0.25">
      <c r="B127" s="17" t="str">
        <f>"Først beregnes stofmængden af "&amp;AC128&amp;" :"</f>
        <v>Først beregnes stofmængden af aluminiumchlorid :</v>
      </c>
      <c r="F127" s="20" t="str">
        <f>"Først beregnes stofmængden af "&amp;AF128&amp;" :"</f>
        <v>Først beregnes stofmængden af natriumchlorid :</v>
      </c>
      <c r="I127" s="18"/>
      <c r="AA127" s="437"/>
      <c r="AB127" s="437"/>
      <c r="AC127" s="437"/>
      <c r="AD127" s="437"/>
      <c r="AE127" s="437"/>
      <c r="AF127" s="437"/>
      <c r="AG127" s="437"/>
      <c r="AH127" s="437"/>
    </row>
    <row r="128" spans="2:34" x14ac:dyDescent="0.25">
      <c r="B128" s="286" t="s">
        <v>643</v>
      </c>
      <c r="C128" s="286" t="s">
        <v>642</v>
      </c>
      <c r="D128" s="286" t="s">
        <v>123</v>
      </c>
      <c r="F128" s="286" t="s">
        <v>643</v>
      </c>
      <c r="G128" s="286" t="s">
        <v>642</v>
      </c>
      <c r="H128" s="286" t="s">
        <v>123</v>
      </c>
      <c r="I128" s="18"/>
      <c r="AA128" s="437"/>
      <c r="AB128" s="437" t="s">
        <v>172</v>
      </c>
      <c r="AC128" s="437" t="s">
        <v>185</v>
      </c>
      <c r="AD128" s="437"/>
      <c r="AE128" s="437" t="s">
        <v>440</v>
      </c>
      <c r="AF128" s="437" t="s">
        <v>358</v>
      </c>
      <c r="AG128" s="437"/>
      <c r="AH128" s="437"/>
    </row>
    <row r="129" spans="2:34" ht="18.75" x14ac:dyDescent="0.3">
      <c r="B129" s="280" t="str">
        <f>"V,"&amp;AB128&amp;" (L)"</f>
        <v>V,AlCl₃ (L)</v>
      </c>
      <c r="C129" s="192"/>
      <c r="D129" s="265" t="str">
        <f>IF(C129="","",IF(ABS(C129-AB129)/AB129&lt;0.02,"R","F"))</f>
        <v/>
      </c>
      <c r="F129" s="280" t="str">
        <f>"V,"&amp;AE128&amp;" (L)"</f>
        <v>V,NaCl (L)</v>
      </c>
      <c r="G129" s="192"/>
      <c r="H129" s="265" t="str">
        <f>IF(G129="","",IF(ABS(G129-AE129)/AE129&lt;0.02,"R","F"))</f>
        <v/>
      </c>
      <c r="I129" s="18"/>
      <c r="AA129" s="437"/>
      <c r="AB129" s="437">
        <v>0.25</v>
      </c>
      <c r="AC129" s="437"/>
      <c r="AD129" s="437"/>
      <c r="AE129" s="437">
        <v>0.4</v>
      </c>
      <c r="AF129" s="437"/>
      <c r="AG129" s="437"/>
      <c r="AH129" s="437"/>
    </row>
    <row r="130" spans="2:34" ht="18.75" x14ac:dyDescent="0.3">
      <c r="B130" s="280" t="str">
        <f>"c,"&amp;AB128&amp;" (mol/L)"</f>
        <v>c,AlCl₃ (mol/L)</v>
      </c>
      <c r="C130" s="193"/>
      <c r="D130" s="265" t="str">
        <f>IF(C130="","",IF(ABS(C130-AB130)/AB130&lt;0.02,"R","F"))</f>
        <v/>
      </c>
      <c r="F130" s="280" t="str">
        <f>"c,"&amp;AE128&amp;" (mol/L)"</f>
        <v>c,NaCl (mol/L)</v>
      </c>
      <c r="G130" s="193"/>
      <c r="H130" s="265" t="str">
        <f>IF(G130="","",IF(ABS(G130-AE130)/AE130&lt;0.02,"R","F"))</f>
        <v/>
      </c>
      <c r="I130" s="18"/>
      <c r="AA130" s="437"/>
      <c r="AB130" s="437">
        <v>0.1</v>
      </c>
      <c r="AC130" s="437"/>
      <c r="AD130" s="437"/>
      <c r="AE130" s="437">
        <v>0.2</v>
      </c>
      <c r="AF130" s="437"/>
      <c r="AG130" s="437"/>
      <c r="AH130" s="437"/>
    </row>
    <row r="131" spans="2:34" ht="18.75" x14ac:dyDescent="0.3">
      <c r="B131" s="280" t="str">
        <f>"n,"&amp;AB128&amp;" (mol)"</f>
        <v>n,AlCl₃ (mol)</v>
      </c>
      <c r="C131" s="191"/>
      <c r="D131" s="265" t="str">
        <f>IF(C131="","",IF(ABS(C131-AB131)/AB131&lt;0.02,"R","F"))</f>
        <v/>
      </c>
      <c r="F131" s="280" t="str">
        <f>"n,"&amp;AE128&amp;" (mol)"</f>
        <v>n,NaCl (mol)</v>
      </c>
      <c r="G131" s="191"/>
      <c r="H131" s="265" t="str">
        <f>IF(G131="","",IF(ABS(G131-AE131)/AE131&lt;0.02,"R","F"))</f>
        <v/>
      </c>
      <c r="I131" s="18"/>
      <c r="AA131" s="437"/>
      <c r="AB131" s="437">
        <f>AB129*AB130</f>
        <v>2.5000000000000001E-2</v>
      </c>
      <c r="AC131" s="437"/>
      <c r="AD131" s="437"/>
      <c r="AE131" s="437">
        <f>AE129*AE130</f>
        <v>8.0000000000000016E-2</v>
      </c>
      <c r="AF131" s="437"/>
      <c r="AG131" s="437"/>
      <c r="AH131" s="437"/>
    </row>
    <row r="132" spans="2:34" x14ac:dyDescent="0.25">
      <c r="B132" s="17"/>
      <c r="I132" s="18"/>
      <c r="AA132" s="437"/>
      <c r="AB132" s="437"/>
      <c r="AC132" s="437"/>
      <c r="AD132" s="437"/>
      <c r="AE132" s="437"/>
      <c r="AF132" s="437"/>
      <c r="AG132" s="437"/>
      <c r="AH132" s="437"/>
    </row>
    <row r="133" spans="2:34" x14ac:dyDescent="0.25">
      <c r="B133" s="17" t="str">
        <f>AB128&amp;" er letopløselig. Opskriv de ioner, der aktuelt er i opløsningen:"</f>
        <v>AlCl₃ er letopløselig. Opskriv de ioner, der aktuelt er i opløsningen:</v>
      </c>
      <c r="C133" s="28"/>
      <c r="D133" s="28"/>
      <c r="F133" t="str">
        <f>AE128&amp;" er letopløselig. Opskriv de ioner, der aktuelt er i opløsningen:"</f>
        <v>NaCl er letopløselig. Opskriv de ioner, der aktuelt er i opløsningen:</v>
      </c>
      <c r="G133" s="28"/>
      <c r="H133" s="28"/>
      <c r="I133" s="18"/>
      <c r="AA133" s="437"/>
      <c r="AB133" s="437"/>
      <c r="AC133" s="437"/>
      <c r="AD133" s="437"/>
      <c r="AE133" s="437"/>
      <c r="AF133" s="437"/>
      <c r="AG133" s="437"/>
      <c r="AH133" s="437"/>
    </row>
    <row r="134" spans="2:34" x14ac:dyDescent="0.25">
      <c r="B134" s="17"/>
      <c r="C134" s="264" t="s">
        <v>807</v>
      </c>
      <c r="D134" s="264" t="s">
        <v>818</v>
      </c>
      <c r="F134" s="21"/>
      <c r="G134" s="264" t="s">
        <v>807</v>
      </c>
      <c r="H134" s="281" t="s">
        <v>818</v>
      </c>
      <c r="I134" s="207"/>
      <c r="AA134" s="437"/>
      <c r="AB134" s="437"/>
      <c r="AC134" s="437"/>
      <c r="AD134" s="437"/>
      <c r="AE134" s="437"/>
      <c r="AF134" s="437"/>
      <c r="AG134" s="437"/>
      <c r="AH134" s="437"/>
    </row>
    <row r="135" spans="2:34" x14ac:dyDescent="0.25">
      <c r="B135" s="266" t="s">
        <v>808</v>
      </c>
      <c r="C135" s="12"/>
      <c r="D135" s="12"/>
      <c r="F135" s="266" t="s">
        <v>808</v>
      </c>
      <c r="G135" s="12"/>
      <c r="H135" s="12"/>
      <c r="I135" s="18"/>
      <c r="AA135" s="437" t="s">
        <v>127</v>
      </c>
      <c r="AB135" s="437" t="s">
        <v>323</v>
      </c>
      <c r="AC135" s="437" t="s">
        <v>436</v>
      </c>
      <c r="AD135" s="437" t="s">
        <v>325</v>
      </c>
      <c r="AE135" s="437" t="s">
        <v>136</v>
      </c>
      <c r="AF135" s="437" t="s">
        <v>352</v>
      </c>
      <c r="AG135" s="437" t="s">
        <v>436</v>
      </c>
      <c r="AH135" s="437" t="s">
        <v>325</v>
      </c>
    </row>
    <row r="136" spans="2:34" ht="18.75" x14ac:dyDescent="0.3">
      <c r="B136" s="266" t="s">
        <v>817</v>
      </c>
      <c r="C136" s="265" t="str">
        <f>IF(OR(TRIM(C135)=AA135,C135=AB135),"R",IF(TRIM(C135)="","","F"))</f>
        <v/>
      </c>
      <c r="D136" s="265" t="str">
        <f>IF(OR(TRIM(D135)=AC135,D135=AD135),"R",IF(TRIM(D135)="","","F"))</f>
        <v/>
      </c>
      <c r="F136" s="266" t="s">
        <v>817</v>
      </c>
      <c r="G136" s="265" t="str">
        <f>IF(OR(TRIM(G135)=AE135,G135=AF135),"R",IF(TRIM(G135)="","","F"))</f>
        <v/>
      </c>
      <c r="H136" s="265" t="str">
        <f>IF(OR(TRIM(H135)=AG135,H135=AH135),"R",IF(TRIM(H135)="","","F"))</f>
        <v/>
      </c>
      <c r="I136" s="18"/>
      <c r="AA136" s="437"/>
      <c r="AB136" s="437"/>
      <c r="AC136" s="437"/>
      <c r="AD136" s="437"/>
      <c r="AE136" s="437"/>
      <c r="AF136" s="437"/>
      <c r="AG136" s="437"/>
      <c r="AH136" s="437"/>
    </row>
    <row r="137" spans="2:34" x14ac:dyDescent="0.25">
      <c r="B137" s="266" t="s">
        <v>810</v>
      </c>
      <c r="C137" s="12"/>
      <c r="D137" s="12"/>
      <c r="F137" s="266" t="s">
        <v>810</v>
      </c>
      <c r="G137" s="12"/>
      <c r="H137" s="12"/>
      <c r="I137" s="18"/>
      <c r="AA137" s="437">
        <v>1</v>
      </c>
      <c r="AB137" s="437">
        <v>3</v>
      </c>
      <c r="AC137" s="437"/>
      <c r="AD137" s="437"/>
      <c r="AE137" s="437">
        <v>1</v>
      </c>
      <c r="AF137" s="437">
        <v>1</v>
      </c>
      <c r="AG137" s="437"/>
      <c r="AH137" s="437"/>
    </row>
    <row r="138" spans="2:34" ht="18.75" x14ac:dyDescent="0.3">
      <c r="B138" s="266" t="s">
        <v>816</v>
      </c>
      <c r="C138" s="265" t="str">
        <f>IF(C137="","",IF(C137=AA137,"R","F"))</f>
        <v/>
      </c>
      <c r="D138" s="265" t="str">
        <f>IF(D137="","",IF(D137=AB137,"R","F"))</f>
        <v/>
      </c>
      <c r="F138" s="266" t="s">
        <v>816</v>
      </c>
      <c r="G138" s="265" t="str">
        <f>IF(G137="","",IF(G137=AE137,"R","F"))</f>
        <v/>
      </c>
      <c r="H138" s="265" t="str">
        <f>IF(H137="","",IF(H137=AF137,"R","F"))</f>
        <v/>
      </c>
      <c r="I138" s="18"/>
      <c r="AA138" s="437"/>
      <c r="AB138" s="437"/>
      <c r="AC138" s="437"/>
      <c r="AD138" s="437"/>
      <c r="AE138" s="437"/>
      <c r="AF138" s="437"/>
      <c r="AG138" s="437"/>
      <c r="AH138" s="437"/>
    </row>
    <row r="139" spans="2:34" x14ac:dyDescent="0.25">
      <c r="B139" s="17"/>
      <c r="I139" s="18"/>
      <c r="AA139" s="437"/>
      <c r="AB139" s="437"/>
      <c r="AC139" s="437"/>
      <c r="AD139" s="437"/>
      <c r="AE139" s="437"/>
      <c r="AF139" s="437"/>
      <c r="AG139" s="437"/>
      <c r="AH139" s="437"/>
    </row>
    <row r="140" spans="2:34" ht="18.75" x14ac:dyDescent="0.25">
      <c r="B140" s="287" t="s">
        <v>931</v>
      </c>
      <c r="C140" s="288" t="str">
        <f>AB128&amp;" (s)"</f>
        <v>AlCl₃ (s)</v>
      </c>
      <c r="D140" s="288" t="s">
        <v>48</v>
      </c>
      <c r="E140" s="289" t="str">
        <f>IF(C136="r",IF(C138="R",IF(C137&lt;&gt;1,C137&amp;" ",""),"")&amp;AA135&amp;" (aq)    +","")</f>
        <v/>
      </c>
      <c r="F140" s="275" t="str">
        <f>IF(D136="r",IF(D138="R",IF(D137&lt;&gt;1,D137&amp;" ",""),"")&amp;AC135&amp;" (aq)","")</f>
        <v/>
      </c>
      <c r="I140" s="18"/>
      <c r="AA140" s="437"/>
      <c r="AB140" s="437"/>
      <c r="AC140" s="437"/>
      <c r="AD140" s="437"/>
      <c r="AE140" s="437"/>
      <c r="AF140" s="437"/>
      <c r="AG140" s="437"/>
      <c r="AH140" s="437"/>
    </row>
    <row r="141" spans="2:34" x14ac:dyDescent="0.25">
      <c r="B141" s="290" t="s">
        <v>812</v>
      </c>
      <c r="C141" s="497" t="str">
        <f>IF(D131="R",C131,"")</f>
        <v/>
      </c>
      <c r="D141" s="498"/>
      <c r="E141" s="291">
        <v>0</v>
      </c>
      <c r="F141" s="291">
        <v>0</v>
      </c>
      <c r="I141" s="18"/>
      <c r="AA141" s="437"/>
      <c r="AB141" s="437"/>
      <c r="AC141" s="437"/>
      <c r="AD141" s="437"/>
      <c r="AE141" s="437"/>
      <c r="AF141" s="437"/>
      <c r="AG141" s="437"/>
      <c r="AH141" s="437"/>
    </row>
    <row r="142" spans="2:34" x14ac:dyDescent="0.25">
      <c r="B142" s="290" t="s">
        <v>813</v>
      </c>
      <c r="C142" s="495">
        <v>0</v>
      </c>
      <c r="D142" s="496"/>
      <c r="E142" s="194"/>
      <c r="F142" s="194"/>
      <c r="I142" s="18"/>
      <c r="AA142" s="437"/>
      <c r="AB142" s="437"/>
      <c r="AC142" s="437">
        <f>AB131*AA137</f>
        <v>2.5000000000000001E-2</v>
      </c>
      <c r="AD142" s="437">
        <f>AB131*AB137</f>
        <v>7.5000000000000011E-2</v>
      </c>
      <c r="AE142" s="437"/>
      <c r="AF142" s="437"/>
      <c r="AG142" s="437"/>
      <c r="AH142" s="437"/>
    </row>
    <row r="143" spans="2:34" ht="18.75" x14ac:dyDescent="0.3">
      <c r="B143" s="268" t="s">
        <v>815</v>
      </c>
      <c r="E143" s="265" t="str">
        <f>IF(E142="","",IF(ABS(E142-AC142)/AC142&lt;0.02,"R","F"))</f>
        <v/>
      </c>
      <c r="F143" s="265" t="str">
        <f>IF(F142="","",IF(ABS(F142-AD142)/AD142&lt;0.02,"R","F"))</f>
        <v/>
      </c>
      <c r="I143" s="18"/>
      <c r="AA143" s="437"/>
      <c r="AB143" s="437"/>
      <c r="AC143" s="437"/>
      <c r="AD143" s="437"/>
      <c r="AE143" s="437"/>
      <c r="AF143" s="437"/>
      <c r="AG143" s="437"/>
      <c r="AH143" s="437"/>
    </row>
    <row r="144" spans="2:34" x14ac:dyDescent="0.25">
      <c r="J144" s="17"/>
      <c r="AA144" s="437"/>
      <c r="AB144" s="437"/>
      <c r="AC144" s="437"/>
      <c r="AD144" s="437"/>
      <c r="AE144" s="437"/>
      <c r="AF144" s="437"/>
      <c r="AG144" s="437"/>
      <c r="AH144" s="437"/>
    </row>
    <row r="145" spans="2:34" ht="18.75" x14ac:dyDescent="0.25">
      <c r="B145" s="287" t="s">
        <v>932</v>
      </c>
      <c r="C145" s="288" t="str">
        <f>AE128&amp;" (s)"</f>
        <v>NaCl (s)</v>
      </c>
      <c r="D145" s="288" t="s">
        <v>48</v>
      </c>
      <c r="E145" s="289" t="str">
        <f>IF(G136="r",IF(G138="R",IF(G137&lt;&gt;1,G137&amp;" ",""),"")&amp;AE135&amp;" (aq)    +","")</f>
        <v/>
      </c>
      <c r="F145" s="275" t="str">
        <f>IF(H136="r",IF(H138="R",IF(H137&lt;&gt;1,H137&amp;" ",""),"")&amp;AG135&amp;" (aq)","")</f>
        <v/>
      </c>
      <c r="I145" s="18"/>
      <c r="AA145" s="437"/>
      <c r="AB145" s="437"/>
      <c r="AC145" s="437"/>
      <c r="AD145" s="437"/>
      <c r="AE145" s="437"/>
      <c r="AF145" s="437"/>
      <c r="AG145" s="437"/>
      <c r="AH145" s="437"/>
    </row>
    <row r="146" spans="2:34" x14ac:dyDescent="0.25">
      <c r="B146" s="290" t="s">
        <v>812</v>
      </c>
      <c r="C146" s="497" t="str">
        <f>IF(H131="R",G131,"")</f>
        <v/>
      </c>
      <c r="D146" s="498"/>
      <c r="E146" s="291">
        <v>0</v>
      </c>
      <c r="F146" s="293" t="str">
        <f>IF(F143="R",AD142,"0 mol")</f>
        <v>0 mol</v>
      </c>
      <c r="I146" s="18"/>
      <c r="AA146" s="437"/>
      <c r="AB146" s="437"/>
      <c r="AC146" s="437"/>
      <c r="AD146" s="437"/>
      <c r="AE146" s="437"/>
      <c r="AF146" s="437"/>
      <c r="AG146" s="437"/>
      <c r="AH146" s="437"/>
    </row>
    <row r="147" spans="2:34" x14ac:dyDescent="0.25">
      <c r="B147" s="290" t="s">
        <v>813</v>
      </c>
      <c r="C147" s="495">
        <v>0</v>
      </c>
      <c r="D147" s="496"/>
      <c r="E147" s="206"/>
      <c r="F147" s="206"/>
      <c r="G147" t="str">
        <f>IF(F147=C146,"Du skal her skrive den totale stofmængde af Cl⁻","")</f>
        <v>Du skal her skrive den totale stofmængde af Cl⁻</v>
      </c>
      <c r="I147" s="18"/>
      <c r="AA147" s="437"/>
      <c r="AB147" s="437"/>
      <c r="AC147" s="437">
        <f>AE131*AE137</f>
        <v>8.0000000000000016E-2</v>
      </c>
      <c r="AD147" s="437">
        <f>AD142+AE131*AF137</f>
        <v>0.15500000000000003</v>
      </c>
      <c r="AE147" s="437"/>
      <c r="AF147" s="437"/>
      <c r="AG147" s="437"/>
      <c r="AH147" s="437"/>
    </row>
    <row r="148" spans="2:34" ht="18.75" x14ac:dyDescent="0.3">
      <c r="B148" s="268" t="s">
        <v>815</v>
      </c>
      <c r="E148" s="265" t="str">
        <f>IF(E147="","",IF(ABS(E147-AC147)/AC147&lt;0.02,"R","F"))</f>
        <v/>
      </c>
      <c r="F148" s="265" t="str">
        <f>IF(F147="","",IF(ABS(F147-AD147)/AD147&lt;0.02,"R","F"))</f>
        <v/>
      </c>
      <c r="I148" s="18"/>
      <c r="AA148" s="437"/>
      <c r="AB148" s="437"/>
      <c r="AC148" s="437"/>
      <c r="AD148" s="437"/>
      <c r="AE148" s="437"/>
      <c r="AF148" s="437"/>
      <c r="AG148" s="437"/>
      <c r="AH148" s="437"/>
    </row>
    <row r="149" spans="2:34" x14ac:dyDescent="0.25">
      <c r="B149" s="17"/>
      <c r="I149" s="18"/>
      <c r="AA149" s="437"/>
      <c r="AB149" s="437"/>
      <c r="AC149" s="437"/>
      <c r="AD149" s="437"/>
      <c r="AE149" s="437"/>
      <c r="AF149" s="437"/>
      <c r="AG149" s="437"/>
      <c r="AH149" s="437"/>
    </row>
    <row r="150" spans="2:34" ht="18.75" x14ac:dyDescent="0.3">
      <c r="B150" s="266" t="s">
        <v>935</v>
      </c>
      <c r="C150" s="192"/>
      <c r="D150" s="265" t="str">
        <f>IF(C150="","",IF(ABS(C150-AD150)/AD150&lt;0.02,"R","F"))</f>
        <v/>
      </c>
      <c r="I150" s="18"/>
      <c r="AA150" s="437"/>
      <c r="AB150" s="437"/>
      <c r="AC150" s="437"/>
      <c r="AD150" s="437">
        <f>AB129+AE129</f>
        <v>0.65</v>
      </c>
      <c r="AE150" s="437"/>
      <c r="AF150" s="437"/>
      <c r="AG150" s="437"/>
      <c r="AH150" s="437"/>
    </row>
    <row r="151" spans="2:34" x14ac:dyDescent="0.25">
      <c r="B151" s="17"/>
      <c r="I151" s="18"/>
      <c r="AA151" s="437"/>
      <c r="AB151" s="437"/>
      <c r="AC151" s="437"/>
      <c r="AD151" s="437"/>
      <c r="AE151" s="437"/>
      <c r="AF151" s="437"/>
      <c r="AG151" s="437"/>
      <c r="AH151" s="437"/>
    </row>
    <row r="152" spans="2:34" x14ac:dyDescent="0.25">
      <c r="B152" s="17"/>
      <c r="C152" s="281" t="str" cm="1">
        <f t="array" ref="C152">IF(AND(E143:F143="R"),"["&amp;AA135&amp;"]","")</f>
        <v/>
      </c>
      <c r="D152" s="264" t="str" cm="1">
        <f t="array" ref="D152">IF(AND(E148:F148="R"),"["&amp;AE135&amp;"]","")</f>
        <v/>
      </c>
      <c r="E152" s="292" t="str" cm="1">
        <f t="array" ref="E152">IF(AND(E148:F148="R"),"["&amp;AG135&amp;"]","")</f>
        <v/>
      </c>
      <c r="I152" s="18"/>
      <c r="AA152" s="437"/>
      <c r="AB152" s="437"/>
      <c r="AC152" s="437"/>
      <c r="AD152" s="437"/>
      <c r="AE152" s="437"/>
      <c r="AF152" s="437"/>
      <c r="AG152" s="437"/>
      <c r="AH152" s="437"/>
    </row>
    <row r="153" spans="2:34" x14ac:dyDescent="0.25">
      <c r="B153" s="266" t="s">
        <v>814</v>
      </c>
      <c r="C153" s="433"/>
      <c r="D153" s="193"/>
      <c r="E153" s="193"/>
      <c r="I153" s="18"/>
      <c r="AA153" s="437">
        <f>AC142/AD150</f>
        <v>3.8461538461538464E-2</v>
      </c>
      <c r="AB153" s="437"/>
      <c r="AC153" s="437">
        <f>AC147/AD150</f>
        <v>0.1230769230769231</v>
      </c>
      <c r="AD153" s="437">
        <f>AD147/AD150</f>
        <v>0.2384615384615385</v>
      </c>
      <c r="AE153" s="437"/>
      <c r="AF153" s="437"/>
      <c r="AG153" s="437"/>
      <c r="AH153" s="437"/>
    </row>
    <row r="154" spans="2:34" ht="18.75" x14ac:dyDescent="0.3">
      <c r="B154" s="266" t="s">
        <v>123</v>
      </c>
      <c r="C154" s="379" t="str">
        <f>IF(C153="","",IF(ABS(C153-AA153)/AA153&lt;0.02,"R","F"))</f>
        <v/>
      </c>
      <c r="D154" s="265" t="str">
        <f>IF(D153="","",IF(ABS(D153-AC153)/AC153&lt;0.02,"R","F"))</f>
        <v/>
      </c>
      <c r="E154" s="265" t="str">
        <f>IF(E153="","",IF(ABS(E153-AD153)/AD153&lt;0.02,"R","F"))</f>
        <v/>
      </c>
      <c r="I154" s="18"/>
      <c r="AA154" s="437"/>
      <c r="AB154" s="437"/>
      <c r="AC154" s="437"/>
      <c r="AD154" s="437"/>
      <c r="AE154" s="437"/>
      <c r="AF154" s="437"/>
      <c r="AG154" s="437"/>
      <c r="AH154" s="437"/>
    </row>
    <row r="155" spans="2:34" x14ac:dyDescent="0.25">
      <c r="B155" s="17"/>
      <c r="I155" s="18"/>
      <c r="AA155" s="437"/>
      <c r="AB155" s="437"/>
      <c r="AC155" s="437"/>
      <c r="AD155" s="437"/>
      <c r="AE155" s="437"/>
      <c r="AF155" s="437"/>
      <c r="AG155" s="437"/>
      <c r="AH155" s="437"/>
    </row>
    <row r="156" spans="2:34" x14ac:dyDescent="0.25">
      <c r="B156" s="19"/>
      <c r="C156" s="20"/>
      <c r="D156" s="20"/>
      <c r="E156" s="20"/>
      <c r="F156" s="20"/>
      <c r="G156" s="20"/>
      <c r="H156" s="20"/>
      <c r="I156" s="21"/>
      <c r="AA156" s="437"/>
      <c r="AB156" s="437"/>
      <c r="AC156" s="437"/>
      <c r="AD156" s="437"/>
      <c r="AE156" s="437"/>
      <c r="AF156" s="437"/>
      <c r="AG156" s="437"/>
      <c r="AH156" s="437"/>
    </row>
    <row r="157" spans="2:34" x14ac:dyDescent="0.25">
      <c r="B157" s="17"/>
      <c r="I157" s="18"/>
      <c r="AA157" s="437"/>
      <c r="AB157" s="437"/>
      <c r="AC157" s="437"/>
      <c r="AD157" s="437"/>
      <c r="AE157" s="437"/>
      <c r="AF157" s="437"/>
      <c r="AG157" s="437"/>
      <c r="AH157" s="437"/>
    </row>
    <row r="158" spans="2:34" x14ac:dyDescent="0.25">
      <c r="B158" s="17" t="str">
        <f>"2) En opløsning med 100 mL 0,400 M "&amp;AB161&amp;" blandes med 350 mL 0,300 M "&amp;AE161&amp;". Beregn de aktuelle koncentrationer for opløsningens ioner efter sammenblanding"</f>
        <v>2) En opløsning med 100 mL 0,400 M K₂CO₃ blandes med 350 mL 0,300 M KNO₃. Beregn de aktuelle koncentrationer for opløsningens ioner efter sammenblanding</v>
      </c>
      <c r="I158" s="18"/>
      <c r="AA158" s="437"/>
      <c r="AB158" s="437"/>
      <c r="AC158" s="437"/>
      <c r="AD158" s="437"/>
      <c r="AE158" s="437"/>
      <c r="AF158" s="437"/>
      <c r="AG158" s="437"/>
      <c r="AH158" s="437"/>
    </row>
    <row r="159" spans="2:34" x14ac:dyDescent="0.25">
      <c r="B159" s="17"/>
      <c r="I159" s="18"/>
      <c r="AA159" s="437"/>
      <c r="AB159" s="437"/>
      <c r="AC159" s="437"/>
      <c r="AD159" s="437"/>
      <c r="AE159" s="437"/>
      <c r="AF159" s="437"/>
      <c r="AG159" s="437"/>
      <c r="AH159" s="437"/>
    </row>
    <row r="160" spans="2:34" x14ac:dyDescent="0.25">
      <c r="B160" s="17" t="str">
        <f>"Først beregnes stofmængden af "&amp;AC161&amp;" :"</f>
        <v>Først beregnes stofmængden af kaliumcarbonat :</v>
      </c>
      <c r="F160" s="20" t="str">
        <f>"Først beregnes stofmængden af "&amp;AF161&amp;" :"</f>
        <v>Først beregnes stofmængden af kaliumnitrat :</v>
      </c>
      <c r="I160" s="18"/>
      <c r="AA160" s="437"/>
      <c r="AB160" s="437"/>
      <c r="AC160" s="437"/>
      <c r="AD160" s="437"/>
      <c r="AE160" s="437"/>
      <c r="AF160" s="437"/>
      <c r="AG160" s="437"/>
      <c r="AH160" s="437"/>
    </row>
    <row r="161" spans="2:34" x14ac:dyDescent="0.25">
      <c r="B161" s="286" t="s">
        <v>643</v>
      </c>
      <c r="C161" s="286" t="s">
        <v>642</v>
      </c>
      <c r="D161" s="286" t="s">
        <v>123</v>
      </c>
      <c r="F161" s="286" t="s">
        <v>643</v>
      </c>
      <c r="G161" s="286" t="s">
        <v>642</v>
      </c>
      <c r="H161" s="286" t="s">
        <v>123</v>
      </c>
      <c r="I161" s="18"/>
      <c r="AA161" s="437"/>
      <c r="AB161" s="437" t="s">
        <v>430</v>
      </c>
      <c r="AC161" s="437" t="s">
        <v>936</v>
      </c>
      <c r="AD161" s="437"/>
      <c r="AE161" s="437" t="s">
        <v>444</v>
      </c>
      <c r="AF161" s="437" t="s">
        <v>367</v>
      </c>
      <c r="AG161" s="437"/>
      <c r="AH161" s="437"/>
    </row>
    <row r="162" spans="2:34" ht="18.75" x14ac:dyDescent="0.3">
      <c r="B162" s="280" t="str">
        <f>"V,"&amp;AB161&amp;" (L)"</f>
        <v>V,K₂CO₃ (L)</v>
      </c>
      <c r="C162" s="192"/>
      <c r="D162" s="265" t="str">
        <f>IF(C162="","",IF(ABS(C162-AB162)/AB162&lt;0.02,"R","F"))</f>
        <v/>
      </c>
      <c r="F162" s="280" t="str">
        <f>"V,"&amp;AE161&amp;" (L)"</f>
        <v>V,KNO₃ (L)</v>
      </c>
      <c r="G162" s="192"/>
      <c r="H162" s="265" t="str">
        <f>IF(G162="","",IF(ABS(G162-AE162)/AE162&lt;0.02,"R","F"))</f>
        <v/>
      </c>
      <c r="I162" s="18"/>
      <c r="AA162" s="437"/>
      <c r="AB162" s="437">
        <v>0.1</v>
      </c>
      <c r="AC162" s="437"/>
      <c r="AD162" s="437"/>
      <c r="AE162" s="437">
        <v>0.35</v>
      </c>
      <c r="AF162" s="437"/>
      <c r="AG162" s="437"/>
      <c r="AH162" s="437"/>
    </row>
    <row r="163" spans="2:34" ht="18.75" x14ac:dyDescent="0.3">
      <c r="B163" s="280" t="str">
        <f>"c,"&amp;AB161&amp;" (mol/L)"</f>
        <v>c,K₂CO₃ (mol/L)</v>
      </c>
      <c r="C163" s="193"/>
      <c r="D163" s="265" t="str">
        <f>IF(C163="","",IF(ABS(C163-AB163)/AB163&lt;0.02,"R","F"))</f>
        <v/>
      </c>
      <c r="F163" s="280" t="str">
        <f>"c,"&amp;AE161&amp;" (mol/L)"</f>
        <v>c,KNO₃ (mol/L)</v>
      </c>
      <c r="G163" s="193"/>
      <c r="H163" s="265" t="str">
        <f>IF(G163="","",IF(ABS(G163-AE163)/AE163&lt;0.02,"R","F"))</f>
        <v/>
      </c>
      <c r="I163" s="18"/>
      <c r="AA163" s="437"/>
      <c r="AB163" s="437">
        <v>0.4</v>
      </c>
      <c r="AC163" s="437"/>
      <c r="AD163" s="437"/>
      <c r="AE163" s="437">
        <v>0.3</v>
      </c>
      <c r="AF163" s="437"/>
      <c r="AG163" s="437"/>
      <c r="AH163" s="437"/>
    </row>
    <row r="164" spans="2:34" ht="18.75" x14ac:dyDescent="0.3">
      <c r="B164" s="280" t="str">
        <f>"n,"&amp;AB161&amp;" (mol)"</f>
        <v>n,K₂CO₃ (mol)</v>
      </c>
      <c r="C164" s="191"/>
      <c r="D164" s="265" t="str">
        <f>IF(C164="","",IF(ABS(C164-AB164)/AB164&lt;0.02,"R","F"))</f>
        <v/>
      </c>
      <c r="F164" s="280" t="str">
        <f>"n,"&amp;AE161&amp;" (mol)"</f>
        <v>n,KNO₃ (mol)</v>
      </c>
      <c r="G164" s="191"/>
      <c r="H164" s="265" t="str">
        <f>IF(G164="","",IF(ABS(G164-AE164)/AE164&lt;0.02,"R","F"))</f>
        <v/>
      </c>
      <c r="I164" s="18"/>
      <c r="AA164" s="437"/>
      <c r="AB164" s="437">
        <f>AB162*AB163</f>
        <v>4.0000000000000008E-2</v>
      </c>
      <c r="AC164" s="437"/>
      <c r="AD164" s="437"/>
      <c r="AE164" s="437">
        <f>AE162*AE163</f>
        <v>0.105</v>
      </c>
      <c r="AF164" s="437"/>
      <c r="AG164" s="437"/>
      <c r="AH164" s="437"/>
    </row>
    <row r="165" spans="2:34" x14ac:dyDescent="0.25">
      <c r="B165" s="17"/>
      <c r="I165" s="18"/>
      <c r="AA165" s="437"/>
      <c r="AB165" s="437"/>
      <c r="AC165" s="437"/>
      <c r="AD165" s="437"/>
      <c r="AE165" s="437"/>
      <c r="AF165" s="437"/>
      <c r="AG165" s="437"/>
      <c r="AH165" s="437"/>
    </row>
    <row r="166" spans="2:34" x14ac:dyDescent="0.25">
      <c r="B166" s="17" t="str">
        <f>AB161&amp;" er letopløselig. Opskriv de ioner, der aktuelt er i opløsningen:"</f>
        <v>K₂CO₃ er letopløselig. Opskriv de ioner, der aktuelt er i opløsningen:</v>
      </c>
      <c r="C166" s="28"/>
      <c r="D166" s="28"/>
      <c r="F166" t="str">
        <f>AE161&amp;" er letopløselig. Opskriv de ioner, der aktuelt er i opløsningen:"</f>
        <v>KNO₃ er letopløselig. Opskriv de ioner, der aktuelt er i opløsningen:</v>
      </c>
      <c r="G166" s="28"/>
      <c r="H166" s="28"/>
      <c r="I166" s="18"/>
      <c r="AA166" s="437"/>
      <c r="AB166" s="437"/>
      <c r="AC166" s="437"/>
      <c r="AD166" s="437"/>
      <c r="AE166" s="437"/>
      <c r="AF166" s="437"/>
      <c r="AG166" s="437"/>
      <c r="AH166" s="437"/>
    </row>
    <row r="167" spans="2:34" x14ac:dyDescent="0.25">
      <c r="B167" s="17"/>
      <c r="C167" s="264" t="s">
        <v>807</v>
      </c>
      <c r="D167" s="264" t="s">
        <v>818</v>
      </c>
      <c r="F167" s="21"/>
      <c r="G167" s="264" t="s">
        <v>807</v>
      </c>
      <c r="H167" s="281" t="s">
        <v>818</v>
      </c>
      <c r="I167" s="207"/>
      <c r="AA167" s="437"/>
      <c r="AB167" s="437"/>
      <c r="AC167" s="437"/>
      <c r="AD167" s="437"/>
      <c r="AE167" s="437"/>
      <c r="AF167" s="437"/>
      <c r="AG167" s="437"/>
      <c r="AH167" s="437"/>
    </row>
    <row r="168" spans="2:34" x14ac:dyDescent="0.25">
      <c r="B168" s="266" t="s">
        <v>808</v>
      </c>
      <c r="C168" s="12"/>
      <c r="D168" s="12"/>
      <c r="F168" s="266" t="s">
        <v>808</v>
      </c>
      <c r="G168" s="12"/>
      <c r="H168" s="12"/>
      <c r="I168" s="18"/>
      <c r="AA168" s="437" t="s">
        <v>195</v>
      </c>
      <c r="AB168" s="437" t="s">
        <v>340</v>
      </c>
      <c r="AC168" s="437" t="s">
        <v>158</v>
      </c>
      <c r="AD168" s="437" t="s">
        <v>268</v>
      </c>
      <c r="AE168" s="437" t="s">
        <v>195</v>
      </c>
      <c r="AF168" s="437" t="s">
        <v>340</v>
      </c>
      <c r="AG168" s="437" t="s">
        <v>159</v>
      </c>
      <c r="AH168" s="437" t="s">
        <v>293</v>
      </c>
    </row>
    <row r="169" spans="2:34" ht="18.75" x14ac:dyDescent="0.3">
      <c r="B169" s="266" t="s">
        <v>817</v>
      </c>
      <c r="C169" s="265" t="str">
        <f>IF(OR(TRIM(C168)=AA168,C168=AB168),"R",IF(TRIM(C168)="","","F"))</f>
        <v/>
      </c>
      <c r="D169" s="265" t="str">
        <f>IF(OR(TRIM(D168)=AC168,D168=AD168),"R",IF(TRIM(D168)="","","F"))</f>
        <v/>
      </c>
      <c r="F169" s="266" t="s">
        <v>817</v>
      </c>
      <c r="G169" s="265" t="str">
        <f>IF(OR(TRIM(G168)=AE168,G168=AF168),"R",IF(TRIM(G168)="","","F"))</f>
        <v/>
      </c>
      <c r="H169" s="265" t="str">
        <f>IF(OR(TRIM(H168)=AG168,H168=AH168),"R",IF(TRIM(H168)="","","F"))</f>
        <v/>
      </c>
      <c r="I169" s="18"/>
      <c r="AA169" s="437"/>
      <c r="AB169" s="437"/>
      <c r="AC169" s="437"/>
      <c r="AD169" s="437"/>
      <c r="AE169" s="437"/>
      <c r="AF169" s="437"/>
      <c r="AG169" s="437"/>
      <c r="AH169" s="437"/>
    </row>
    <row r="170" spans="2:34" x14ac:dyDescent="0.25">
      <c r="B170" s="266" t="s">
        <v>810</v>
      </c>
      <c r="C170" s="12"/>
      <c r="D170" s="12"/>
      <c r="F170" s="266" t="s">
        <v>810</v>
      </c>
      <c r="G170" s="12"/>
      <c r="H170" s="12"/>
      <c r="I170" s="18"/>
      <c r="AA170" s="437">
        <v>2</v>
      </c>
      <c r="AB170" s="437">
        <v>1</v>
      </c>
      <c r="AC170" s="437"/>
      <c r="AD170" s="437"/>
      <c r="AE170" s="437">
        <v>1</v>
      </c>
      <c r="AF170" s="437">
        <v>1</v>
      </c>
      <c r="AG170" s="437"/>
      <c r="AH170" s="437"/>
    </row>
    <row r="171" spans="2:34" ht="18.75" x14ac:dyDescent="0.3">
      <c r="B171" s="266" t="s">
        <v>816</v>
      </c>
      <c r="C171" s="265" t="str">
        <f>IF(C170="","",IF(C170=AA170,"R","F"))</f>
        <v/>
      </c>
      <c r="D171" s="265" t="str">
        <f>IF(D170="","",IF(D170=AB170,"R","F"))</f>
        <v/>
      </c>
      <c r="F171" s="266" t="s">
        <v>816</v>
      </c>
      <c r="G171" s="265" t="str">
        <f>IF(G170="","",IF(G170=AE170,"R","F"))</f>
        <v/>
      </c>
      <c r="H171" s="265" t="str">
        <f>IF(H170="","",IF(H170=AF170,"R","F"))</f>
        <v/>
      </c>
      <c r="I171" s="18"/>
      <c r="AA171" s="437"/>
      <c r="AB171" s="437"/>
      <c r="AC171" s="437"/>
      <c r="AD171" s="437"/>
      <c r="AE171" s="437"/>
      <c r="AF171" s="437"/>
      <c r="AG171" s="437"/>
      <c r="AH171" s="437"/>
    </row>
    <row r="172" spans="2:34" x14ac:dyDescent="0.25">
      <c r="B172" s="17"/>
      <c r="I172" s="18"/>
      <c r="AA172" s="437"/>
      <c r="AB172" s="437"/>
      <c r="AC172" s="437"/>
      <c r="AD172" s="437"/>
      <c r="AE172" s="437"/>
      <c r="AF172" s="437"/>
      <c r="AG172" s="437"/>
      <c r="AH172" s="437"/>
    </row>
    <row r="173" spans="2:34" ht="18.75" x14ac:dyDescent="0.25">
      <c r="B173" s="287" t="s">
        <v>931</v>
      </c>
      <c r="C173" s="288" t="str">
        <f>AB161&amp;" (s)"</f>
        <v>K₂CO₃ (s)</v>
      </c>
      <c r="D173" s="288" t="s">
        <v>48</v>
      </c>
      <c r="E173" s="289" t="str">
        <f>IF(C169="r",IF(C171="R",IF(C170&lt;&gt;1,C170&amp;" ",""),"")&amp;AA168&amp;" (aq)    +","")</f>
        <v/>
      </c>
      <c r="F173" s="275" t="str">
        <f>IF(D169="r",IF(D171="R",IF(D170&lt;&gt;1,D170&amp;" ",""),"")&amp;AC168&amp;" (aq)","")</f>
        <v/>
      </c>
      <c r="I173" s="18"/>
      <c r="AA173" s="437"/>
      <c r="AB173" s="437"/>
      <c r="AC173" s="437"/>
      <c r="AD173" s="437"/>
      <c r="AE173" s="437"/>
      <c r="AF173" s="437"/>
      <c r="AG173" s="437"/>
      <c r="AH173" s="437"/>
    </row>
    <row r="174" spans="2:34" x14ac:dyDescent="0.25">
      <c r="B174" s="290" t="s">
        <v>812</v>
      </c>
      <c r="C174" s="497" t="str">
        <f>IF(D164="R",C164,"")</f>
        <v/>
      </c>
      <c r="D174" s="498"/>
      <c r="E174" s="291">
        <v>0</v>
      </c>
      <c r="F174" s="291">
        <v>0</v>
      </c>
      <c r="I174" s="18"/>
      <c r="AA174" s="437"/>
      <c r="AB174" s="437"/>
      <c r="AC174" s="437"/>
      <c r="AD174" s="437"/>
      <c r="AE174" s="437"/>
      <c r="AF174" s="437"/>
      <c r="AG174" s="437"/>
      <c r="AH174" s="437"/>
    </row>
    <row r="175" spans="2:34" x14ac:dyDescent="0.25">
      <c r="B175" s="290" t="s">
        <v>813</v>
      </c>
      <c r="C175" s="495">
        <v>0</v>
      </c>
      <c r="D175" s="496"/>
      <c r="E175" s="194"/>
      <c r="F175" s="194"/>
      <c r="I175" s="18"/>
      <c r="AA175" s="437"/>
      <c r="AB175" s="437"/>
      <c r="AC175" s="437">
        <f>AB164*AA170</f>
        <v>8.0000000000000016E-2</v>
      </c>
      <c r="AD175" s="437">
        <f>AB164*AB170</f>
        <v>4.0000000000000008E-2</v>
      </c>
      <c r="AE175" s="437"/>
      <c r="AF175" s="437"/>
      <c r="AG175" s="437"/>
      <c r="AH175" s="437"/>
    </row>
    <row r="176" spans="2:34" ht="18.75" x14ac:dyDescent="0.3">
      <c r="B176" s="268" t="s">
        <v>815</v>
      </c>
      <c r="E176" s="265" t="str">
        <f>IF(E175="","",IF(ABS(E175-AC175)/AC175&lt;0.02,"R","F"))</f>
        <v/>
      </c>
      <c r="F176" s="265" t="str">
        <f>IF(F175="","",IF(ABS(F175-AD175)/AD175&lt;0.02,"R","F"))</f>
        <v/>
      </c>
      <c r="I176" s="18"/>
      <c r="AA176" s="437"/>
      <c r="AB176" s="437"/>
      <c r="AC176" s="437"/>
      <c r="AD176" s="437"/>
      <c r="AE176" s="437"/>
      <c r="AF176" s="437"/>
      <c r="AG176" s="437"/>
      <c r="AH176" s="437"/>
    </row>
    <row r="177" spans="1:34" x14ac:dyDescent="0.25">
      <c r="AA177" s="437"/>
      <c r="AB177" s="437"/>
      <c r="AC177" s="437"/>
      <c r="AD177" s="437"/>
      <c r="AE177" s="437"/>
      <c r="AF177" s="437"/>
      <c r="AG177" s="437"/>
      <c r="AH177" s="437"/>
    </row>
    <row r="178" spans="1:34" ht="18.75" x14ac:dyDescent="0.25">
      <c r="B178" s="287" t="s">
        <v>932</v>
      </c>
      <c r="C178" s="288" t="str">
        <f>AE161&amp;" (s)"</f>
        <v>KNO₃ (s)</v>
      </c>
      <c r="D178" s="288" t="s">
        <v>48</v>
      </c>
      <c r="E178" s="289" t="str">
        <f>IF(G169="r",IF(G171="R",IF(G170&lt;&gt;1,G170&amp;" ",""),"")&amp;AE168&amp;" (aq)    +","")</f>
        <v/>
      </c>
      <c r="F178" s="275" t="str">
        <f>IF(H169="r",IF(H171="R",IF(H170&lt;&gt;1,H170&amp;" ",""),"")&amp;AG168&amp;" (aq)","")</f>
        <v/>
      </c>
      <c r="I178" s="18"/>
      <c r="AA178" s="437"/>
      <c r="AB178" s="437"/>
      <c r="AC178" s="437"/>
      <c r="AD178" s="437"/>
      <c r="AE178" s="437"/>
      <c r="AF178" s="437"/>
      <c r="AG178" s="437"/>
      <c r="AH178" s="437"/>
    </row>
    <row r="179" spans="1:34" x14ac:dyDescent="0.25">
      <c r="B179" s="290" t="s">
        <v>812</v>
      </c>
      <c r="C179" s="497" t="str">
        <f>IF(H164="R",G164,"")</f>
        <v/>
      </c>
      <c r="D179" s="498"/>
      <c r="E179" s="293" t="str">
        <f>IF(E176="R",AC175,"0 mol")</f>
        <v>0 mol</v>
      </c>
      <c r="F179" s="293" t="str">
        <f>"0 mol"</f>
        <v>0 mol</v>
      </c>
      <c r="I179" s="18"/>
      <c r="AA179" s="437"/>
      <c r="AB179" s="437"/>
      <c r="AC179" s="437"/>
      <c r="AD179" s="437"/>
      <c r="AE179" s="437"/>
      <c r="AF179" s="437"/>
      <c r="AG179" s="437"/>
      <c r="AH179" s="437"/>
    </row>
    <row r="180" spans="1:34" x14ac:dyDescent="0.25">
      <c r="B180" s="290" t="s">
        <v>813</v>
      </c>
      <c r="C180" s="495">
        <v>0</v>
      </c>
      <c r="D180" s="496"/>
      <c r="E180" s="206"/>
      <c r="F180" s="206"/>
      <c r="G180" t="str">
        <f>IF(E180=C179,"Du skal her skrive den totale stofmængde af K⁺","")</f>
        <v>Du skal her skrive den totale stofmængde af K⁺</v>
      </c>
      <c r="I180" s="18"/>
      <c r="AA180" s="437"/>
      <c r="AB180" s="437"/>
      <c r="AC180" s="450">
        <f>AC175+AE164*AE170</f>
        <v>0.185</v>
      </c>
      <c r="AD180" s="437">
        <f>AE164*AF170</f>
        <v>0.105</v>
      </c>
      <c r="AE180" s="437"/>
      <c r="AF180" s="437"/>
      <c r="AG180" s="437"/>
      <c r="AH180" s="437"/>
    </row>
    <row r="181" spans="1:34" ht="18.75" x14ac:dyDescent="0.3">
      <c r="B181" s="268" t="s">
        <v>815</v>
      </c>
      <c r="E181" s="265" t="str">
        <f>IF(E180="","",IF(ABS(E180-AC180)/AC180&lt;0.02,"R","F"))</f>
        <v/>
      </c>
      <c r="F181" s="265" t="str">
        <f>IF(F180="","",IF(ABS(F180-AD180)/AD180&lt;0.02,"R","F"))</f>
        <v/>
      </c>
      <c r="I181" s="18"/>
      <c r="AA181" s="437"/>
      <c r="AB181" s="437"/>
      <c r="AC181" s="437"/>
      <c r="AD181" s="437"/>
      <c r="AE181" s="437"/>
      <c r="AF181" s="437"/>
      <c r="AG181" s="437"/>
      <c r="AH181" s="437"/>
    </row>
    <row r="182" spans="1:34" x14ac:dyDescent="0.25">
      <c r="B182" s="17"/>
      <c r="I182" s="18"/>
      <c r="AA182" s="437"/>
      <c r="AB182" s="437"/>
      <c r="AC182" s="437"/>
      <c r="AD182" s="437"/>
      <c r="AE182" s="437"/>
      <c r="AF182" s="437"/>
      <c r="AG182" s="437"/>
      <c r="AH182" s="437"/>
    </row>
    <row r="183" spans="1:34" ht="18.75" x14ac:dyDescent="0.3">
      <c r="B183" s="266" t="s">
        <v>935</v>
      </c>
      <c r="C183" s="192"/>
      <c r="D183" s="265" t="str">
        <f>IF(C183="","",IF(ABS(C183-AD183)/AD183&lt;0.02,"R","F"))</f>
        <v/>
      </c>
      <c r="I183" s="18"/>
      <c r="AA183" s="437"/>
      <c r="AB183" s="437"/>
      <c r="AC183" s="437"/>
      <c r="AD183" s="437">
        <f>AB162+AE162</f>
        <v>0.44999999999999996</v>
      </c>
      <c r="AE183" s="437"/>
      <c r="AF183" s="437"/>
      <c r="AG183" s="437"/>
      <c r="AH183" s="437"/>
    </row>
    <row r="184" spans="1:34" x14ac:dyDescent="0.25">
      <c r="B184" s="17"/>
      <c r="I184" s="18"/>
      <c r="AA184" s="437"/>
      <c r="AB184" s="437"/>
      <c r="AC184" s="437"/>
      <c r="AD184" s="437"/>
      <c r="AE184" s="437"/>
      <c r="AF184" s="437"/>
      <c r="AG184" s="437"/>
      <c r="AH184" s="437"/>
    </row>
    <row r="185" spans="1:34" x14ac:dyDescent="0.25">
      <c r="B185" s="17"/>
      <c r="C185" s="281" t="str" cm="1">
        <f t="array" ref="C185">IF(AND(E176:F176="R"),"["&amp;AA168&amp;"]","")</f>
        <v/>
      </c>
      <c r="D185" s="264" t="str" cm="1">
        <f t="array" ref="D185">IF(AND(E181:F181="R"),"["&amp;AC168&amp;"]","")</f>
        <v/>
      </c>
      <c r="E185" s="292" t="str" cm="1">
        <f t="array" ref="E185">IF(AND(E181:F181="R"),"["&amp;AG168&amp;"]","")</f>
        <v/>
      </c>
      <c r="I185" s="18"/>
      <c r="AA185" s="437"/>
      <c r="AB185" s="437"/>
      <c r="AC185" s="437"/>
      <c r="AD185" s="437"/>
      <c r="AE185" s="437"/>
      <c r="AF185" s="437"/>
      <c r="AG185" s="437"/>
      <c r="AH185" s="437"/>
    </row>
    <row r="186" spans="1:34" x14ac:dyDescent="0.25">
      <c r="B186" s="266" t="s">
        <v>814</v>
      </c>
      <c r="C186" s="433"/>
      <c r="D186" s="193"/>
      <c r="E186" s="193"/>
      <c r="I186" s="18"/>
      <c r="AA186" s="437">
        <f>AC180/AD183</f>
        <v>0.41111111111111115</v>
      </c>
      <c r="AB186" s="437"/>
      <c r="AC186" s="437">
        <f>AD175/AD183</f>
        <v>8.888888888888892E-2</v>
      </c>
      <c r="AD186" s="437">
        <f>AD180/AD183</f>
        <v>0.23333333333333334</v>
      </c>
      <c r="AE186" s="437"/>
      <c r="AF186" s="437"/>
      <c r="AG186" s="437"/>
      <c r="AH186" s="437"/>
    </row>
    <row r="187" spans="1:34" ht="18.75" x14ac:dyDescent="0.3">
      <c r="B187" s="266" t="s">
        <v>123</v>
      </c>
      <c r="C187" s="379" t="str">
        <f>IF(C186="","",IF(ABS(C186-AA186)/AA186&lt;0.02,"R","F"))</f>
        <v/>
      </c>
      <c r="D187" s="265" t="str">
        <f>IF(D186="","",IF(ABS(D186-AC186)/AC186&lt;0.02,"R","F"))</f>
        <v/>
      </c>
      <c r="E187" s="265" t="str">
        <f>IF(E186="","",IF(ABS(E186-AD186)/AD186&lt;0.02,"R","F"))</f>
        <v/>
      </c>
      <c r="I187" s="18"/>
      <c r="AA187" s="437"/>
      <c r="AB187" s="437"/>
      <c r="AC187" s="437"/>
      <c r="AD187" s="437"/>
      <c r="AE187" s="437"/>
      <c r="AF187" s="437"/>
      <c r="AG187" s="437"/>
      <c r="AH187" s="437"/>
    </row>
    <row r="188" spans="1:34" x14ac:dyDescent="0.25">
      <c r="B188" s="17"/>
      <c r="I188" s="18"/>
      <c r="AA188" s="437"/>
      <c r="AB188" s="437"/>
      <c r="AC188" s="437"/>
      <c r="AD188" s="437"/>
      <c r="AE188" s="437"/>
      <c r="AF188" s="437"/>
      <c r="AG188" s="437"/>
      <c r="AH188" s="437"/>
    </row>
    <row r="189" spans="1:34" x14ac:dyDescent="0.25">
      <c r="B189" s="19"/>
      <c r="C189" s="20"/>
      <c r="D189" s="20"/>
      <c r="E189" s="20"/>
      <c r="F189" s="20"/>
      <c r="G189" s="20"/>
      <c r="H189" s="20"/>
      <c r="I189" s="21"/>
      <c r="AA189" s="437"/>
      <c r="AB189" s="437"/>
      <c r="AC189" s="437"/>
      <c r="AD189" s="437"/>
      <c r="AE189" s="437"/>
      <c r="AF189" s="437"/>
      <c r="AG189" s="437"/>
      <c r="AH189" s="437"/>
    </row>
    <row r="190" spans="1:34" x14ac:dyDescent="0.25">
      <c r="B190" s="17"/>
      <c r="I190" s="18"/>
      <c r="AA190" s="437"/>
      <c r="AB190" s="437"/>
      <c r="AC190" s="437"/>
      <c r="AD190" s="437"/>
      <c r="AE190" s="437"/>
      <c r="AF190" s="437"/>
      <c r="AG190" s="437"/>
      <c r="AH190" s="437"/>
    </row>
    <row r="191" spans="1:34" x14ac:dyDescent="0.25">
      <c r="B191" s="17" t="str">
        <f>"3) En opløsning med 150 mL 0,200 M "&amp;AB194&amp;" blandes med 400 mL 0,150 M "&amp;AE194&amp;". Beregn de aktuelle koncentrationer for opløsningens ioner efter sammenblanding"</f>
        <v>3) En opløsning med 150 mL 0,200 M Fe₂(SO₄)₃ blandes med 400 mL 0,150 M Al₂(SO₄)₃. Beregn de aktuelle koncentrationer for opløsningens ioner efter sammenblanding</v>
      </c>
      <c r="I191" s="18"/>
      <c r="AA191" s="437"/>
      <c r="AB191" s="437"/>
      <c r="AC191" s="437"/>
      <c r="AD191" s="437"/>
      <c r="AE191" s="437"/>
      <c r="AF191" s="437"/>
      <c r="AG191" s="437"/>
      <c r="AH191" s="437"/>
    </row>
    <row r="192" spans="1:34" x14ac:dyDescent="0.25">
      <c r="A192" s="18"/>
      <c r="J192" s="17"/>
      <c r="AA192" s="437"/>
      <c r="AB192" s="437"/>
      <c r="AC192" s="437"/>
      <c r="AD192" s="437"/>
      <c r="AE192" s="437"/>
      <c r="AF192" s="437"/>
      <c r="AG192" s="437"/>
      <c r="AH192" s="437"/>
    </row>
    <row r="193" spans="2:34" x14ac:dyDescent="0.25">
      <c r="B193" s="17" t="str">
        <f>"Først beregnes stofmængden af "&amp;AC194&amp;" :"</f>
        <v>Først beregnes stofmængden af jern(III)sulfat :</v>
      </c>
      <c r="F193" s="20" t="str">
        <f>"Først beregnes stofmængden af "&amp;AF194&amp;" :"</f>
        <v>Først beregnes stofmængden af aluminiumsulfat :</v>
      </c>
      <c r="I193" s="18"/>
      <c r="AA193" s="437"/>
      <c r="AB193" s="437"/>
      <c r="AC193" s="437"/>
      <c r="AD193" s="437"/>
      <c r="AE193" s="437"/>
      <c r="AF193" s="437"/>
      <c r="AG193" s="437"/>
      <c r="AH193" s="437"/>
    </row>
    <row r="194" spans="2:34" x14ac:dyDescent="0.25">
      <c r="B194" s="286" t="s">
        <v>643</v>
      </c>
      <c r="C194" s="286" t="s">
        <v>642</v>
      </c>
      <c r="D194" s="286" t="s">
        <v>123</v>
      </c>
      <c r="F194" s="286" t="s">
        <v>643</v>
      </c>
      <c r="G194" s="286" t="s">
        <v>642</v>
      </c>
      <c r="H194" s="286" t="s">
        <v>123</v>
      </c>
      <c r="I194" s="18"/>
      <c r="AA194" s="437"/>
      <c r="AB194" s="437" t="s">
        <v>448</v>
      </c>
      <c r="AC194" s="437" t="s">
        <v>377</v>
      </c>
      <c r="AD194" s="437"/>
      <c r="AE194" s="437" t="s">
        <v>118</v>
      </c>
      <c r="AF194" s="437" t="s">
        <v>348</v>
      </c>
      <c r="AG194" s="437"/>
      <c r="AH194" s="437"/>
    </row>
    <row r="195" spans="2:34" ht="18.75" x14ac:dyDescent="0.3">
      <c r="B195" s="280" t="str">
        <f>"V,"&amp;AB194&amp;" (L)"</f>
        <v>V,Fe₂(SO₄)₃ (L)</v>
      </c>
      <c r="C195" s="192"/>
      <c r="D195" s="265" t="str">
        <f>IF(C195="","",IF(ABS(C195-AB195)/AB195&lt;0.02,"R","F"))</f>
        <v/>
      </c>
      <c r="F195" s="280" t="str">
        <f>"V,"&amp;AE194&amp;" (L)"</f>
        <v>V,Al₂(SO₄)₃ (L)</v>
      </c>
      <c r="G195" s="192"/>
      <c r="H195" s="265" t="str">
        <f>IF(G195="","",IF(ABS(G195-AE195)/AE195&lt;0.02,"R","F"))</f>
        <v/>
      </c>
      <c r="I195" s="18"/>
      <c r="AA195" s="437"/>
      <c r="AB195" s="437">
        <v>0.15</v>
      </c>
      <c r="AC195" s="437"/>
      <c r="AD195" s="437"/>
      <c r="AE195" s="437">
        <v>0.4</v>
      </c>
      <c r="AF195" s="437"/>
      <c r="AG195" s="437"/>
      <c r="AH195" s="437"/>
    </row>
    <row r="196" spans="2:34" ht="18.75" x14ac:dyDescent="0.3">
      <c r="B196" s="280" t="str">
        <f>"c,"&amp;AB194&amp;" (mol/L)"</f>
        <v>c,Fe₂(SO₄)₃ (mol/L)</v>
      </c>
      <c r="C196" s="193"/>
      <c r="D196" s="265" t="str">
        <f>IF(C196="","",IF(ABS(C196-AB196)/AB196&lt;0.02,"R","F"))</f>
        <v/>
      </c>
      <c r="F196" s="280" t="str">
        <f>"c,"&amp;AE194&amp;" (mol/L)"</f>
        <v>c,Al₂(SO₄)₃ (mol/L)</v>
      </c>
      <c r="G196" s="193"/>
      <c r="H196" s="265" t="str">
        <f>IF(G196="","",IF(ABS(G196-AE196)/AE196&lt;0.02,"R","F"))</f>
        <v/>
      </c>
      <c r="I196" s="18"/>
      <c r="AA196" s="437"/>
      <c r="AB196" s="437">
        <v>0.2</v>
      </c>
      <c r="AC196" s="437"/>
      <c r="AD196" s="437"/>
      <c r="AE196" s="437">
        <v>0.15</v>
      </c>
      <c r="AF196" s="437"/>
      <c r="AG196" s="437"/>
      <c r="AH196" s="437"/>
    </row>
    <row r="197" spans="2:34" ht="18.75" x14ac:dyDescent="0.3">
      <c r="B197" s="280" t="str">
        <f>"n,"&amp;AB194&amp;" (mol)"</f>
        <v>n,Fe₂(SO₄)₃ (mol)</v>
      </c>
      <c r="C197" s="191"/>
      <c r="D197" s="265" t="str">
        <f>IF(C197="","",IF(ABS(C197-AB197)/AB197&lt;0.02,"R","F"))</f>
        <v/>
      </c>
      <c r="F197" s="280" t="str">
        <f>"n,"&amp;AE194&amp;" (mol)"</f>
        <v>n,Al₂(SO₄)₃ (mol)</v>
      </c>
      <c r="G197" s="191"/>
      <c r="H197" s="265" t="str">
        <f>IF(G197="","",IF(ABS(G197-AE197)/AE197&lt;0.02,"R","F"))</f>
        <v/>
      </c>
      <c r="I197" s="18"/>
      <c r="AA197" s="437"/>
      <c r="AB197" s="437">
        <f>AB195*AB196</f>
        <v>0.03</v>
      </c>
      <c r="AC197" s="437"/>
      <c r="AD197" s="437"/>
      <c r="AE197" s="437">
        <f>AE195*AE196</f>
        <v>0.06</v>
      </c>
      <c r="AF197" s="437"/>
      <c r="AG197" s="437"/>
      <c r="AH197" s="437"/>
    </row>
    <row r="198" spans="2:34" x14ac:dyDescent="0.25">
      <c r="B198" s="17"/>
      <c r="I198" s="18"/>
      <c r="AA198" s="437"/>
      <c r="AB198" s="437"/>
      <c r="AC198" s="437"/>
      <c r="AD198" s="437"/>
      <c r="AE198" s="437"/>
      <c r="AF198" s="437"/>
      <c r="AG198" s="437"/>
      <c r="AH198" s="437"/>
    </row>
    <row r="199" spans="2:34" x14ac:dyDescent="0.25">
      <c r="B199" s="17" t="str">
        <f>AB194&amp;" er letopløselig. Opskriv de ioner, der aktuelt er i opløsningen:"</f>
        <v>Fe₂(SO₄)₃ er letopløselig. Opskriv de ioner, der aktuelt er i opløsningen:</v>
      </c>
      <c r="C199" s="28"/>
      <c r="D199" s="28"/>
      <c r="F199" t="str">
        <f>AE194&amp;" er letopløselig. Opskriv de ioner, der aktuelt er i opløsningen:"</f>
        <v>Al₂(SO₄)₃ er letopløselig. Opskriv de ioner, der aktuelt er i opløsningen:</v>
      </c>
      <c r="G199" s="28"/>
      <c r="H199" s="28"/>
      <c r="I199" s="18"/>
      <c r="AA199" s="437"/>
      <c r="AB199" s="437"/>
      <c r="AC199" s="437"/>
      <c r="AD199" s="437"/>
      <c r="AE199" s="437"/>
      <c r="AF199" s="437"/>
      <c r="AG199" s="437"/>
      <c r="AH199" s="437"/>
    </row>
    <row r="200" spans="2:34" x14ac:dyDescent="0.25">
      <c r="B200" s="17"/>
      <c r="C200" s="264" t="s">
        <v>807</v>
      </c>
      <c r="D200" s="264" t="s">
        <v>818</v>
      </c>
      <c r="F200" s="21"/>
      <c r="G200" s="264" t="s">
        <v>807</v>
      </c>
      <c r="H200" s="281" t="s">
        <v>818</v>
      </c>
      <c r="I200" s="207"/>
      <c r="AA200" s="437"/>
      <c r="AB200" s="437"/>
      <c r="AC200" s="437"/>
      <c r="AD200" s="437"/>
      <c r="AE200" s="437"/>
      <c r="AF200" s="437"/>
      <c r="AG200" s="437"/>
      <c r="AH200" s="437"/>
    </row>
    <row r="201" spans="2:34" x14ac:dyDescent="0.25">
      <c r="B201" s="266" t="s">
        <v>808</v>
      </c>
      <c r="C201" s="12"/>
      <c r="D201" s="12"/>
      <c r="F201" s="266" t="s">
        <v>808</v>
      </c>
      <c r="G201" s="12"/>
      <c r="H201" s="12"/>
      <c r="I201" s="18"/>
      <c r="AA201" s="437" t="s">
        <v>128</v>
      </c>
      <c r="AB201" s="437" t="s">
        <v>317</v>
      </c>
      <c r="AC201" s="437" t="s">
        <v>157</v>
      </c>
      <c r="AD201" s="437" t="s">
        <v>262</v>
      </c>
      <c r="AE201" s="437" t="s">
        <v>127</v>
      </c>
      <c r="AF201" s="437" t="s">
        <v>323</v>
      </c>
      <c r="AG201" s="437" t="s">
        <v>157</v>
      </c>
      <c r="AH201" s="437" t="s">
        <v>262</v>
      </c>
    </row>
    <row r="202" spans="2:34" ht="18.75" x14ac:dyDescent="0.3">
      <c r="B202" s="266" t="s">
        <v>817</v>
      </c>
      <c r="C202" s="265" t="str">
        <f>IF(OR(TRIM(C201)=AA201,C201=AB201),"R",IF(TRIM(C201)="","","F"))</f>
        <v/>
      </c>
      <c r="D202" s="265" t="str">
        <f>IF(OR(TRIM(D201)=AC201,D201=AD201),"R",IF(TRIM(D201)="","","F"))</f>
        <v/>
      </c>
      <c r="F202" s="266" t="s">
        <v>817</v>
      </c>
      <c r="G202" s="265" t="str">
        <f>IF(OR(TRIM(G201)=AE201,G201=AF201),"R",IF(TRIM(G201)="","","F"))</f>
        <v/>
      </c>
      <c r="H202" s="265" t="str">
        <f>IF(OR(TRIM(H201)=AG201,H201=AH201),"R",IF(TRIM(H201)="","","F"))</f>
        <v/>
      </c>
      <c r="I202" s="18"/>
      <c r="AA202" s="437"/>
      <c r="AB202" s="437"/>
      <c r="AC202" s="437"/>
      <c r="AD202" s="437"/>
      <c r="AE202" s="437"/>
      <c r="AF202" s="437"/>
      <c r="AG202" s="437"/>
      <c r="AH202" s="437"/>
    </row>
    <row r="203" spans="2:34" x14ac:dyDescent="0.25">
      <c r="B203" s="266" t="s">
        <v>810</v>
      </c>
      <c r="C203" s="12"/>
      <c r="D203" s="12"/>
      <c r="F203" s="266" t="s">
        <v>810</v>
      </c>
      <c r="G203" s="12"/>
      <c r="H203" s="12"/>
      <c r="I203" s="18"/>
      <c r="AA203" s="437">
        <v>2</v>
      </c>
      <c r="AB203" s="437">
        <v>3</v>
      </c>
      <c r="AC203" s="437"/>
      <c r="AD203" s="437"/>
      <c r="AE203" s="437">
        <v>2</v>
      </c>
      <c r="AF203" s="437">
        <v>3</v>
      </c>
      <c r="AG203" s="437"/>
      <c r="AH203" s="437"/>
    </row>
    <row r="204" spans="2:34" ht="18.75" x14ac:dyDescent="0.3">
      <c r="B204" s="266" t="s">
        <v>816</v>
      </c>
      <c r="C204" s="265" t="str">
        <f>IF(C203="","",IF(C203=AA203,"R","F"))</f>
        <v/>
      </c>
      <c r="D204" s="265" t="str">
        <f>IF(D203="","",IF(D203=AB203,"R","F"))</f>
        <v/>
      </c>
      <c r="F204" s="266" t="s">
        <v>816</v>
      </c>
      <c r="G204" s="265" t="str">
        <f>IF(G203="","",IF(G203=AE203,"R","F"))</f>
        <v/>
      </c>
      <c r="H204" s="265" t="str">
        <f>IF(H203="","",IF(H203=AF203,"R","F"))</f>
        <v/>
      </c>
      <c r="I204" s="18"/>
      <c r="AA204" s="437"/>
      <c r="AB204" s="437"/>
      <c r="AC204" s="437"/>
      <c r="AD204" s="437"/>
      <c r="AE204" s="437"/>
      <c r="AF204" s="437"/>
      <c r="AG204" s="437"/>
      <c r="AH204" s="437"/>
    </row>
    <row r="205" spans="2:34" x14ac:dyDescent="0.25">
      <c r="B205" s="17"/>
      <c r="I205" s="18"/>
      <c r="AA205" s="437"/>
      <c r="AB205" s="437"/>
      <c r="AC205" s="437"/>
      <c r="AD205" s="437"/>
      <c r="AE205" s="437"/>
      <c r="AF205" s="437"/>
      <c r="AG205" s="437"/>
      <c r="AH205" s="437"/>
    </row>
    <row r="206" spans="2:34" ht="18.75" x14ac:dyDescent="0.25">
      <c r="B206" s="287" t="s">
        <v>931</v>
      </c>
      <c r="C206" s="288" t="str">
        <f>AB194&amp;" (s)"</f>
        <v>Fe₂(SO₄)₃ (s)</v>
      </c>
      <c r="D206" s="288" t="s">
        <v>48</v>
      </c>
      <c r="E206" s="289" t="str">
        <f>IF(C202="r",IF(C204="R",IF(C203&lt;&gt;1,C203&amp;" ",""),"")&amp;AA201&amp;" (aq)    +","")</f>
        <v/>
      </c>
      <c r="F206" s="275" t="str">
        <f>IF(D202="r",IF(D204="R",IF(D203&lt;&gt;1,D203&amp;" ",""),"")&amp;AC201&amp;" (aq)","")</f>
        <v/>
      </c>
      <c r="I206" s="18"/>
      <c r="AA206" s="437"/>
      <c r="AB206" s="437"/>
      <c r="AC206" s="437"/>
      <c r="AD206" s="437"/>
      <c r="AE206" s="437"/>
      <c r="AF206" s="437"/>
      <c r="AG206" s="437"/>
      <c r="AH206" s="437"/>
    </row>
    <row r="207" spans="2:34" x14ac:dyDescent="0.25">
      <c r="B207" s="290" t="s">
        <v>812</v>
      </c>
      <c r="C207" s="497" t="str">
        <f>IF(D197="R",C197,"")</f>
        <v/>
      </c>
      <c r="D207" s="498"/>
      <c r="E207" s="291">
        <v>0</v>
      </c>
      <c r="F207" s="291">
        <v>0</v>
      </c>
      <c r="I207" s="18"/>
      <c r="AA207" s="437"/>
      <c r="AB207" s="437"/>
      <c r="AC207" s="437"/>
      <c r="AD207" s="437"/>
      <c r="AE207" s="437"/>
      <c r="AF207" s="437"/>
      <c r="AG207" s="437"/>
      <c r="AH207" s="437"/>
    </row>
    <row r="208" spans="2:34" x14ac:dyDescent="0.25">
      <c r="B208" s="290" t="s">
        <v>813</v>
      </c>
      <c r="C208" s="495">
        <v>0</v>
      </c>
      <c r="D208" s="496"/>
      <c r="E208" s="194"/>
      <c r="F208" s="194"/>
      <c r="I208" s="18"/>
      <c r="AA208" s="437"/>
      <c r="AB208" s="437"/>
      <c r="AC208" s="437">
        <f>AB197*AA203</f>
        <v>0.06</v>
      </c>
      <c r="AD208" s="437">
        <f>AB197*AB203</f>
        <v>0.09</v>
      </c>
      <c r="AE208" s="437"/>
      <c r="AF208" s="437"/>
      <c r="AG208" s="437"/>
      <c r="AH208" s="437"/>
    </row>
    <row r="209" spans="2:34" ht="18.75" x14ac:dyDescent="0.3">
      <c r="B209" s="268" t="s">
        <v>815</v>
      </c>
      <c r="E209" s="265" t="str">
        <f>IF(E208="","",IF(ABS(E208-AC208)/AC208&lt;0.02,"R","F"))</f>
        <v/>
      </c>
      <c r="F209" s="265" t="str">
        <f>IF(F208="","",IF(ABS(F208-AD208)/AD208&lt;0.02,"R","F"))</f>
        <v/>
      </c>
      <c r="I209" s="18"/>
      <c r="AA209" s="437"/>
      <c r="AB209" s="437"/>
      <c r="AC209" s="437"/>
      <c r="AD209" s="437"/>
      <c r="AE209" s="437"/>
      <c r="AF209" s="437"/>
      <c r="AG209" s="437"/>
      <c r="AH209" s="437"/>
    </row>
    <row r="210" spans="2:34" x14ac:dyDescent="0.25">
      <c r="B210" s="17"/>
      <c r="I210" s="18"/>
      <c r="AA210" s="437"/>
      <c r="AB210" s="437"/>
      <c r="AC210" s="437"/>
      <c r="AD210" s="437"/>
      <c r="AE210" s="437"/>
      <c r="AF210" s="437"/>
      <c r="AG210" s="437"/>
      <c r="AH210" s="437"/>
    </row>
    <row r="211" spans="2:34" ht="18.75" x14ac:dyDescent="0.25">
      <c r="B211" s="287" t="s">
        <v>932</v>
      </c>
      <c r="C211" s="288" t="str">
        <f>AE194&amp;" (s)"</f>
        <v>Al₂(SO₄)₃ (s)</v>
      </c>
      <c r="D211" s="288" t="s">
        <v>48</v>
      </c>
      <c r="E211" s="289" t="str">
        <f>IF(G202="r",IF(G204="R",IF(G203&lt;&gt;1,G203&amp;" ",""),"")&amp;AE201&amp;" (aq)    +","")</f>
        <v/>
      </c>
      <c r="F211" s="275" t="str">
        <f>IF(H202="r",IF(H204="R",IF(H203&lt;&gt;1,H203&amp;" ",""),"")&amp;AG201&amp;" (aq)","")</f>
        <v/>
      </c>
      <c r="I211" s="18"/>
      <c r="AA211" s="437"/>
      <c r="AB211" s="437"/>
      <c r="AC211" s="437"/>
      <c r="AD211" s="437"/>
      <c r="AE211" s="437"/>
      <c r="AF211" s="437"/>
      <c r="AG211" s="437"/>
      <c r="AH211" s="437"/>
    </row>
    <row r="212" spans="2:34" x14ac:dyDescent="0.25">
      <c r="B212" s="290" t="s">
        <v>812</v>
      </c>
      <c r="C212" s="497" t="str">
        <f>IF(H197="R",G197,"")</f>
        <v/>
      </c>
      <c r="D212" s="498"/>
      <c r="E212" s="291">
        <v>0</v>
      </c>
      <c r="F212" s="293" t="str">
        <f>IF(F209="R",AD208,"0 mol")</f>
        <v>0 mol</v>
      </c>
      <c r="I212" s="18"/>
      <c r="AA212" s="437"/>
      <c r="AB212" s="437"/>
      <c r="AC212" s="437"/>
      <c r="AD212" s="437"/>
      <c r="AE212" s="437"/>
      <c r="AF212" s="437"/>
      <c r="AG212" s="437"/>
      <c r="AH212" s="437"/>
    </row>
    <row r="213" spans="2:34" x14ac:dyDescent="0.25">
      <c r="B213" s="290" t="s">
        <v>813</v>
      </c>
      <c r="C213" s="495">
        <v>0</v>
      </c>
      <c r="D213" s="496"/>
      <c r="E213" s="206"/>
      <c r="F213" s="206"/>
      <c r="G213" t="str">
        <f>IF(F213=C212,"Du skal her skrive den totale stofmængde af Cl⁻","")</f>
        <v>Du skal her skrive den totale stofmængde af Cl⁻</v>
      </c>
      <c r="I213" s="18"/>
      <c r="AA213" s="437"/>
      <c r="AB213" s="437"/>
      <c r="AC213" s="437">
        <f>AE197*AE203</f>
        <v>0.12</v>
      </c>
      <c r="AD213" s="437">
        <f>AD208+AE197*AF203</f>
        <v>0.27</v>
      </c>
      <c r="AE213" s="437"/>
      <c r="AF213" s="437"/>
      <c r="AG213" s="437"/>
      <c r="AH213" s="437"/>
    </row>
    <row r="214" spans="2:34" ht="18.75" x14ac:dyDescent="0.3">
      <c r="B214" s="268" t="s">
        <v>815</v>
      </c>
      <c r="E214" s="265" t="str">
        <f>IF(E213="","",IF(ABS(E213-AC213)/AC213&lt;0.02,"R","F"))</f>
        <v/>
      </c>
      <c r="F214" s="265" t="str">
        <f>IF(F213="","",IF(ABS(F213-AD213)/AD213&lt;0.02,"R","F"))</f>
        <v/>
      </c>
      <c r="I214" s="18"/>
      <c r="AA214" s="437"/>
      <c r="AB214" s="437"/>
      <c r="AC214" s="437"/>
      <c r="AD214" s="437"/>
      <c r="AE214" s="437"/>
      <c r="AF214" s="437"/>
      <c r="AG214" s="437"/>
      <c r="AH214" s="437"/>
    </row>
    <row r="215" spans="2:34" x14ac:dyDescent="0.25">
      <c r="B215" s="17"/>
      <c r="I215" s="18"/>
      <c r="AA215" s="437"/>
      <c r="AB215" s="437"/>
      <c r="AC215" s="437"/>
      <c r="AD215" s="437"/>
      <c r="AE215" s="437"/>
      <c r="AF215" s="437"/>
      <c r="AG215" s="437"/>
      <c r="AH215" s="437"/>
    </row>
    <row r="216" spans="2:34" ht="18.75" x14ac:dyDescent="0.3">
      <c r="B216" s="266" t="s">
        <v>935</v>
      </c>
      <c r="C216" s="192"/>
      <c r="D216" s="265" t="str">
        <f>IF(C216="","",IF(ABS(C216-AD216)/AD216&lt;0.02,"R","F"))</f>
        <v/>
      </c>
      <c r="I216" s="18"/>
      <c r="AA216" s="437"/>
      <c r="AB216" s="437"/>
      <c r="AC216" s="437"/>
      <c r="AD216" s="437">
        <f>AB195+AE195</f>
        <v>0.55000000000000004</v>
      </c>
      <c r="AE216" s="437"/>
      <c r="AF216" s="437"/>
      <c r="AG216" s="437"/>
      <c r="AH216" s="437"/>
    </row>
    <row r="217" spans="2:34" x14ac:dyDescent="0.25">
      <c r="B217" s="17"/>
      <c r="I217" s="18"/>
      <c r="AA217" s="437"/>
      <c r="AB217" s="437"/>
      <c r="AC217" s="437"/>
      <c r="AD217" s="437"/>
      <c r="AE217" s="437"/>
      <c r="AF217" s="437"/>
      <c r="AG217" s="437"/>
      <c r="AH217" s="437"/>
    </row>
    <row r="218" spans="2:34" x14ac:dyDescent="0.25">
      <c r="B218" s="17"/>
      <c r="C218" s="281" t="str" cm="1">
        <f t="array" ref="C218">IF(AND(E209:F209="R"),"["&amp;AA201&amp;"]","")</f>
        <v/>
      </c>
      <c r="D218" s="264" t="str" cm="1">
        <f t="array" ref="D218">IF(AND(E214:F214="R"),"["&amp;AE201&amp;"]","")</f>
        <v/>
      </c>
      <c r="E218" s="292" t="str" cm="1">
        <f t="array" ref="E218">IF(AND(E214:F214="R"),"["&amp;AG201&amp;"]","")</f>
        <v/>
      </c>
      <c r="I218" s="18"/>
      <c r="AA218" s="437"/>
      <c r="AB218" s="437"/>
      <c r="AC218" s="437"/>
      <c r="AD218" s="437"/>
      <c r="AE218" s="437"/>
      <c r="AF218" s="437"/>
      <c r="AG218" s="437"/>
      <c r="AH218" s="437"/>
    </row>
    <row r="219" spans="2:34" x14ac:dyDescent="0.25">
      <c r="B219" s="266" t="s">
        <v>814</v>
      </c>
      <c r="C219" s="368"/>
      <c r="D219" s="193"/>
      <c r="E219" s="193"/>
      <c r="I219" s="18"/>
      <c r="AA219" s="437">
        <f>AC208/AD216</f>
        <v>0.10909090909090907</v>
      </c>
      <c r="AB219" s="437"/>
      <c r="AC219" s="437">
        <f>AC213/AD216</f>
        <v>0.21818181818181814</v>
      </c>
      <c r="AD219" s="437">
        <f>AD213/AD216</f>
        <v>0.49090909090909091</v>
      </c>
      <c r="AE219" s="437"/>
      <c r="AF219" s="437"/>
      <c r="AG219" s="437"/>
      <c r="AH219" s="437"/>
    </row>
    <row r="220" spans="2:34" ht="18.75" x14ac:dyDescent="0.3">
      <c r="B220" s="266" t="s">
        <v>123</v>
      </c>
      <c r="C220" s="379" t="str">
        <f>IF(C219="","",IF(ABS(C219-AA219)/AA219&lt;0.02,"R","F"))</f>
        <v/>
      </c>
      <c r="D220" s="265" t="str">
        <f>IF(D219="","",IF(ABS(D219-AC219)/AC219&lt;0.02,"R","F"))</f>
        <v/>
      </c>
      <c r="E220" s="265" t="str">
        <f>IF(E219="","",IF(ABS(E219-AD219)/AD219&lt;0.02,"R","F"))</f>
        <v/>
      </c>
      <c r="F220" s="19"/>
      <c r="G220" s="20"/>
      <c r="H220" s="20"/>
      <c r="I220" s="21"/>
      <c r="AA220" s="437"/>
      <c r="AB220" s="437"/>
      <c r="AC220" s="437"/>
      <c r="AD220" s="437"/>
      <c r="AE220" s="437"/>
      <c r="AF220" s="437"/>
      <c r="AG220" s="437"/>
      <c r="AH220" s="437"/>
    </row>
  </sheetData>
  <sheetProtection algorithmName="SHA-512" hashValue="TCWoDQyzccaG3sM1FBBLdL+mzko2V4uTbxHBCxlVL/BZRMxmkVrKoBH3mT/JCGRWnwT1MelGlfUmx5XH7TrPdw==" saltValue="/qGKW1eEPs8Buq3TvAR6zQ==" spinCount="100000" sheet="1" objects="1" scenarios="1" formatColumns="0" formatRows="0"/>
  <mergeCells count="18">
    <mergeCell ref="C54:D54"/>
    <mergeCell ref="C55:D55"/>
    <mergeCell ref="C141:D141"/>
    <mergeCell ref="C142:D142"/>
    <mergeCell ref="C114:D114"/>
    <mergeCell ref="C115:D115"/>
    <mergeCell ref="C84:D84"/>
    <mergeCell ref="C85:D85"/>
    <mergeCell ref="C174:D174"/>
    <mergeCell ref="C175:D175"/>
    <mergeCell ref="C179:D179"/>
    <mergeCell ref="C146:D146"/>
    <mergeCell ref="C147:D147"/>
    <mergeCell ref="C208:D208"/>
    <mergeCell ref="C212:D212"/>
    <mergeCell ref="C213:D213"/>
    <mergeCell ref="C180:D180"/>
    <mergeCell ref="C207:D207"/>
  </mergeCells>
  <conditionalFormatting sqref="C2 E2 D17:D21">
    <cfRule type="containsText" dxfId="349" priority="121" operator="containsText" text="R">
      <formula>NOT(ISERROR(SEARCH("R",C2)))</formula>
    </cfRule>
    <cfRule type="containsText" dxfId="348" priority="122" operator="containsText" text="F">
      <formula>NOT(ISERROR(SEARCH("F",C2)))</formula>
    </cfRule>
  </conditionalFormatting>
  <conditionalFormatting sqref="C49:D49">
    <cfRule type="containsText" dxfId="347" priority="115" operator="containsText" text="R">
      <formula>NOT(ISERROR(SEARCH("R",C49)))</formula>
    </cfRule>
    <cfRule type="containsText" dxfId="346" priority="116" operator="containsText" text="F">
      <formula>NOT(ISERROR(SEARCH("F",C49)))</formula>
    </cfRule>
  </conditionalFormatting>
  <conditionalFormatting sqref="C51:D51">
    <cfRule type="containsText" dxfId="345" priority="107" operator="containsText" text="R">
      <formula>NOT(ISERROR(SEARCH("R",C51)))</formula>
    </cfRule>
    <cfRule type="containsText" dxfId="344" priority="108" operator="containsText" text="F">
      <formula>NOT(ISERROR(SEARCH("F",C51)))</formula>
    </cfRule>
  </conditionalFormatting>
  <conditionalFormatting sqref="C79:D79">
    <cfRule type="containsText" dxfId="343" priority="95" operator="containsText" text="R">
      <formula>NOT(ISERROR(SEARCH("R",C79)))</formula>
    </cfRule>
    <cfRule type="containsText" dxfId="342" priority="96" operator="containsText" text="F">
      <formula>NOT(ISERROR(SEARCH("F",C79)))</formula>
    </cfRule>
  </conditionalFormatting>
  <conditionalFormatting sqref="C81:D81">
    <cfRule type="containsText" dxfId="341" priority="15" operator="containsText" text="R">
      <formula>NOT(ISERROR(SEARCH("R",C81)))</formula>
    </cfRule>
    <cfRule type="containsText" dxfId="340" priority="16" operator="containsText" text="F">
      <formula>NOT(ISERROR(SEARCH("F",C81)))</formula>
    </cfRule>
  </conditionalFormatting>
  <conditionalFormatting sqref="C109:D109">
    <cfRule type="containsText" dxfId="339" priority="85" operator="containsText" text="R">
      <formula>NOT(ISERROR(SEARCH("R",C109)))</formula>
    </cfRule>
    <cfRule type="containsText" dxfId="338" priority="86" operator="containsText" text="F">
      <formula>NOT(ISERROR(SEARCH("F",C109)))</formula>
    </cfRule>
  </conditionalFormatting>
  <conditionalFormatting sqref="C111:D111">
    <cfRule type="containsText" dxfId="337" priority="13" operator="containsText" text="R">
      <formula>NOT(ISERROR(SEARCH("R",C111)))</formula>
    </cfRule>
    <cfRule type="containsText" dxfId="336" priority="14" operator="containsText" text="F">
      <formula>NOT(ISERROR(SEARCH("F",C111)))</formula>
    </cfRule>
  </conditionalFormatting>
  <conditionalFormatting sqref="C136:D136">
    <cfRule type="containsText" dxfId="335" priority="73" operator="containsText" text="R">
      <formula>NOT(ISERROR(SEARCH("R",C136)))</formula>
    </cfRule>
    <cfRule type="containsText" dxfId="334" priority="74" operator="containsText" text="F">
      <formula>NOT(ISERROR(SEARCH("F",C136)))</formula>
    </cfRule>
  </conditionalFormatting>
  <conditionalFormatting sqref="C138:D138">
    <cfRule type="containsText" dxfId="333" priority="11" operator="containsText" text="R">
      <formula>NOT(ISERROR(SEARCH("R",C138)))</formula>
    </cfRule>
    <cfRule type="containsText" dxfId="332" priority="12" operator="containsText" text="F">
      <formula>NOT(ISERROR(SEARCH("F",C138)))</formula>
    </cfRule>
  </conditionalFormatting>
  <conditionalFormatting sqref="C169:D169">
    <cfRule type="containsText" dxfId="331" priority="53" operator="containsText" text="R">
      <formula>NOT(ISERROR(SEARCH("R",C169)))</formula>
    </cfRule>
    <cfRule type="containsText" dxfId="330" priority="54" operator="containsText" text="F">
      <formula>NOT(ISERROR(SEARCH("F",C169)))</formula>
    </cfRule>
  </conditionalFormatting>
  <conditionalFormatting sqref="C171:D171">
    <cfRule type="containsText" dxfId="329" priority="7" operator="containsText" text="R">
      <formula>NOT(ISERROR(SEARCH("R",C171)))</formula>
    </cfRule>
    <cfRule type="containsText" dxfId="328" priority="8" operator="containsText" text="F">
      <formula>NOT(ISERROR(SEARCH("F",C171)))</formula>
    </cfRule>
  </conditionalFormatting>
  <conditionalFormatting sqref="C202:D202">
    <cfRule type="containsText" dxfId="327" priority="33" operator="containsText" text="R">
      <formula>NOT(ISERROR(SEARCH("R",C202)))</formula>
    </cfRule>
    <cfRule type="containsText" dxfId="326" priority="34" operator="containsText" text="F">
      <formula>NOT(ISERROR(SEARCH("F",C202)))</formula>
    </cfRule>
  </conditionalFormatting>
  <conditionalFormatting sqref="C204:D204">
    <cfRule type="containsText" dxfId="325" priority="3" operator="containsText" text="R">
      <formula>NOT(ISERROR(SEARCH("R",C204)))</formula>
    </cfRule>
    <cfRule type="containsText" dxfId="324" priority="4" operator="containsText" text="F">
      <formula>NOT(ISERROR(SEARCH("F",C204)))</formula>
    </cfRule>
  </conditionalFormatting>
  <conditionalFormatting sqref="C60:E60">
    <cfRule type="containsText" dxfId="323" priority="105" operator="containsText" text="R">
      <formula>NOT(ISERROR(SEARCH("R",C60)))</formula>
    </cfRule>
    <cfRule type="containsText" dxfId="322" priority="106" operator="containsText" text="F">
      <formula>NOT(ISERROR(SEARCH("F",C60)))</formula>
    </cfRule>
  </conditionalFormatting>
  <conditionalFormatting sqref="C90:E90">
    <cfRule type="containsText" dxfId="321" priority="89" operator="containsText" text="R">
      <formula>NOT(ISERROR(SEARCH("R",C90)))</formula>
    </cfRule>
    <cfRule type="containsText" dxfId="320" priority="90" operator="containsText" text="F">
      <formula>NOT(ISERROR(SEARCH("F",C90)))</formula>
    </cfRule>
  </conditionalFormatting>
  <conditionalFormatting sqref="C120:E120">
    <cfRule type="containsText" dxfId="319" priority="79" operator="containsText" text="R">
      <formula>NOT(ISERROR(SEARCH("R",C120)))</formula>
    </cfRule>
    <cfRule type="containsText" dxfId="318" priority="80" operator="containsText" text="F">
      <formula>NOT(ISERROR(SEARCH("F",C120)))</formula>
    </cfRule>
  </conditionalFormatting>
  <conditionalFormatting sqref="C154:E154">
    <cfRule type="containsText" dxfId="317" priority="59" operator="containsText" text="R">
      <formula>NOT(ISERROR(SEARCH("R",C154)))</formula>
    </cfRule>
    <cfRule type="containsText" dxfId="316" priority="60" operator="containsText" text="F">
      <formula>NOT(ISERROR(SEARCH("F",C154)))</formula>
    </cfRule>
  </conditionalFormatting>
  <conditionalFormatting sqref="C187:E187">
    <cfRule type="containsText" dxfId="315" priority="39" operator="containsText" text="R">
      <formula>NOT(ISERROR(SEARCH("R",C187)))</formula>
    </cfRule>
    <cfRule type="containsText" dxfId="314" priority="40" operator="containsText" text="F">
      <formula>NOT(ISERROR(SEARCH("F",C187)))</formula>
    </cfRule>
  </conditionalFormatting>
  <conditionalFormatting sqref="C220:E220">
    <cfRule type="containsText" dxfId="313" priority="19" operator="containsText" text="R">
      <formula>NOT(ISERROR(SEARCH("R",C220)))</formula>
    </cfRule>
    <cfRule type="containsText" dxfId="312" priority="20" operator="containsText" text="F">
      <formula>NOT(ISERROR(SEARCH("F",C220)))</formula>
    </cfRule>
  </conditionalFormatting>
  <conditionalFormatting sqref="D9:D13">
    <cfRule type="containsText" dxfId="311" priority="101" operator="containsText" text="R">
      <formula>NOT(ISERROR(SEARCH("R",D9)))</formula>
    </cfRule>
    <cfRule type="containsText" dxfId="310" priority="102" operator="containsText" text="F">
      <formula>NOT(ISERROR(SEARCH("F",D9)))</formula>
    </cfRule>
  </conditionalFormatting>
  <conditionalFormatting sqref="D25:D29">
    <cfRule type="containsText" dxfId="309" priority="97" operator="containsText" text="R">
      <formula>NOT(ISERROR(SEARCH("R",D25)))</formula>
    </cfRule>
    <cfRule type="containsText" dxfId="308" priority="98" operator="containsText" text="F">
      <formula>NOT(ISERROR(SEARCH("F",D25)))</formula>
    </cfRule>
  </conditionalFormatting>
  <conditionalFormatting sqref="D38:D40 D43:D44">
    <cfRule type="containsText" dxfId="307" priority="109" operator="containsText" text="R">
      <formula>NOT(ISERROR(SEARCH("R",D38)))</formula>
    </cfRule>
    <cfRule type="containsText" dxfId="306" priority="110" operator="containsText" text="F">
      <formula>NOT(ISERROR(SEARCH("F",D38)))</formula>
    </cfRule>
  </conditionalFormatting>
  <conditionalFormatting sqref="D68:D70 D73:D74">
    <cfRule type="containsText" dxfId="305" priority="93" operator="containsText" text="R">
      <formula>NOT(ISERROR(SEARCH("R",D68)))</formula>
    </cfRule>
    <cfRule type="containsText" dxfId="304" priority="94" operator="containsText" text="F">
      <formula>NOT(ISERROR(SEARCH("F",D68)))</formula>
    </cfRule>
  </conditionalFormatting>
  <conditionalFormatting sqref="D98:D100 D103:D104">
    <cfRule type="containsText" dxfId="303" priority="83" operator="containsText" text="R">
      <formula>NOT(ISERROR(SEARCH("R",D98)))</formula>
    </cfRule>
    <cfRule type="containsText" dxfId="302" priority="84" operator="containsText" text="F">
      <formula>NOT(ISERROR(SEARCH("F",D98)))</formula>
    </cfRule>
  </conditionalFormatting>
  <conditionalFormatting sqref="D129:D131">
    <cfRule type="containsText" dxfId="301" priority="75" operator="containsText" text="R">
      <formula>NOT(ISERROR(SEARCH("R",D129)))</formula>
    </cfRule>
    <cfRule type="containsText" dxfId="300" priority="76" operator="containsText" text="F">
      <formula>NOT(ISERROR(SEARCH("F",D129)))</formula>
    </cfRule>
  </conditionalFormatting>
  <conditionalFormatting sqref="D150">
    <cfRule type="containsText" dxfId="299" priority="57" operator="containsText" text="R">
      <formula>NOT(ISERROR(SEARCH("R",D150)))</formula>
    </cfRule>
    <cfRule type="containsText" dxfId="298" priority="58" operator="containsText" text="F">
      <formula>NOT(ISERROR(SEARCH("F",D150)))</formula>
    </cfRule>
  </conditionalFormatting>
  <conditionalFormatting sqref="D162:D164">
    <cfRule type="containsText" dxfId="297" priority="55" operator="containsText" text="R">
      <formula>NOT(ISERROR(SEARCH("R",D162)))</formula>
    </cfRule>
    <cfRule type="containsText" dxfId="296" priority="56" operator="containsText" text="F">
      <formula>NOT(ISERROR(SEARCH("F",D162)))</formula>
    </cfRule>
  </conditionalFormatting>
  <conditionalFormatting sqref="D183">
    <cfRule type="containsText" dxfId="295" priority="37" operator="containsText" text="R">
      <formula>NOT(ISERROR(SEARCH("R",D183)))</formula>
    </cfRule>
    <cfRule type="containsText" dxfId="294" priority="38" operator="containsText" text="F">
      <formula>NOT(ISERROR(SEARCH("F",D183)))</formula>
    </cfRule>
  </conditionalFormatting>
  <conditionalFormatting sqref="D195:D197">
    <cfRule type="containsText" dxfId="293" priority="35" operator="containsText" text="R">
      <formula>NOT(ISERROR(SEARCH("R",D195)))</formula>
    </cfRule>
    <cfRule type="containsText" dxfId="292" priority="36" operator="containsText" text="F">
      <formula>NOT(ISERROR(SEARCH("F",D195)))</formula>
    </cfRule>
  </conditionalFormatting>
  <conditionalFormatting sqref="D216">
    <cfRule type="containsText" dxfId="291" priority="17" operator="containsText" text="R">
      <formula>NOT(ISERROR(SEARCH("R",D216)))</formula>
    </cfRule>
    <cfRule type="containsText" dxfId="290" priority="18" operator="containsText" text="F">
      <formula>NOT(ISERROR(SEARCH("F",D216)))</formula>
    </cfRule>
  </conditionalFormatting>
  <conditionalFormatting sqref="E56:F56">
    <cfRule type="containsText" dxfId="289" priority="103" operator="containsText" text="R">
      <formula>NOT(ISERROR(SEARCH("R",E56)))</formula>
    </cfRule>
    <cfRule type="containsText" dxfId="288" priority="104" operator="containsText" text="F">
      <formula>NOT(ISERROR(SEARCH("F",E56)))</formula>
    </cfRule>
  </conditionalFormatting>
  <conditionalFormatting sqref="E86:F86">
    <cfRule type="containsText" dxfId="287" priority="87" operator="containsText" text="R">
      <formula>NOT(ISERROR(SEARCH("R",E86)))</formula>
    </cfRule>
    <cfRule type="containsText" dxfId="286" priority="88" operator="containsText" text="F">
      <formula>NOT(ISERROR(SEARCH("F",E86)))</formula>
    </cfRule>
  </conditionalFormatting>
  <conditionalFormatting sqref="E116:F116">
    <cfRule type="containsText" dxfId="285" priority="77" operator="containsText" text="R">
      <formula>NOT(ISERROR(SEARCH("R",E116)))</formula>
    </cfRule>
    <cfRule type="containsText" dxfId="284" priority="78" operator="containsText" text="F">
      <formula>NOT(ISERROR(SEARCH("F",E116)))</formula>
    </cfRule>
  </conditionalFormatting>
  <conditionalFormatting sqref="E143:F143">
    <cfRule type="containsText" dxfId="283" priority="63" operator="containsText" text="R">
      <formula>NOT(ISERROR(SEARCH("R",E143)))</formula>
    </cfRule>
    <cfRule type="containsText" dxfId="282" priority="64" operator="containsText" text="F">
      <formula>NOT(ISERROR(SEARCH("F",E143)))</formula>
    </cfRule>
  </conditionalFormatting>
  <conditionalFormatting sqref="E148:F148">
    <cfRule type="containsText" dxfId="281" priority="61" operator="containsText" text="R">
      <formula>NOT(ISERROR(SEARCH("R",E148)))</formula>
    </cfRule>
    <cfRule type="containsText" dxfId="280" priority="62" operator="containsText" text="F">
      <formula>NOT(ISERROR(SEARCH("F",E148)))</formula>
    </cfRule>
  </conditionalFormatting>
  <conditionalFormatting sqref="E176:F176">
    <cfRule type="containsText" dxfId="279" priority="43" operator="containsText" text="R">
      <formula>NOT(ISERROR(SEARCH("R",E176)))</formula>
    </cfRule>
    <cfRule type="containsText" dxfId="278" priority="44" operator="containsText" text="F">
      <formula>NOT(ISERROR(SEARCH("F",E176)))</formula>
    </cfRule>
  </conditionalFormatting>
  <conditionalFormatting sqref="E181:F181">
    <cfRule type="containsText" dxfId="277" priority="41" operator="containsText" text="R">
      <formula>NOT(ISERROR(SEARCH("R",E181)))</formula>
    </cfRule>
    <cfRule type="containsText" dxfId="276" priority="42" operator="containsText" text="F">
      <formula>NOT(ISERROR(SEARCH("F",E181)))</formula>
    </cfRule>
  </conditionalFormatting>
  <conditionalFormatting sqref="E209:F209">
    <cfRule type="containsText" dxfId="275" priority="23" operator="containsText" text="R">
      <formula>NOT(ISERROR(SEARCH("R",E209)))</formula>
    </cfRule>
    <cfRule type="containsText" dxfId="274" priority="24" operator="containsText" text="F">
      <formula>NOT(ISERROR(SEARCH("F",E209)))</formula>
    </cfRule>
  </conditionalFormatting>
  <conditionalFormatting sqref="E214:F214">
    <cfRule type="containsText" dxfId="273" priority="21" operator="containsText" text="R">
      <formula>NOT(ISERROR(SEARCH("R",E214)))</formula>
    </cfRule>
    <cfRule type="containsText" dxfId="272" priority="22" operator="containsText" text="F">
      <formula>NOT(ISERROR(SEARCH("F",E214)))</formula>
    </cfRule>
  </conditionalFormatting>
  <conditionalFormatting sqref="G136:H136">
    <cfRule type="containsText" dxfId="271" priority="69" operator="containsText" text="R">
      <formula>NOT(ISERROR(SEARCH("R",G136)))</formula>
    </cfRule>
    <cfRule type="containsText" dxfId="270" priority="70" operator="containsText" text="F">
      <formula>NOT(ISERROR(SEARCH("F",G136)))</formula>
    </cfRule>
  </conditionalFormatting>
  <conditionalFormatting sqref="G138:H138">
    <cfRule type="containsText" dxfId="269" priority="9" operator="containsText" text="R">
      <formula>NOT(ISERROR(SEARCH("R",G138)))</formula>
    </cfRule>
    <cfRule type="containsText" dxfId="268" priority="10" operator="containsText" text="F">
      <formula>NOT(ISERROR(SEARCH("F",G138)))</formula>
    </cfRule>
  </conditionalFormatting>
  <conditionalFormatting sqref="G169:H169">
    <cfRule type="containsText" dxfId="267" priority="49" operator="containsText" text="R">
      <formula>NOT(ISERROR(SEARCH("R",G169)))</formula>
    </cfRule>
    <cfRule type="containsText" dxfId="266" priority="50" operator="containsText" text="F">
      <formula>NOT(ISERROR(SEARCH("F",G169)))</formula>
    </cfRule>
  </conditionalFormatting>
  <conditionalFormatting sqref="G171:H171">
    <cfRule type="containsText" dxfId="265" priority="5" operator="containsText" text="R">
      <formula>NOT(ISERROR(SEARCH("R",G171)))</formula>
    </cfRule>
    <cfRule type="containsText" dxfId="264" priority="6" operator="containsText" text="F">
      <formula>NOT(ISERROR(SEARCH("F",G171)))</formula>
    </cfRule>
  </conditionalFormatting>
  <conditionalFormatting sqref="G202:H202">
    <cfRule type="containsText" dxfId="263" priority="29" operator="containsText" text="R">
      <formula>NOT(ISERROR(SEARCH("R",G202)))</formula>
    </cfRule>
    <cfRule type="containsText" dxfId="262" priority="30" operator="containsText" text="F">
      <formula>NOT(ISERROR(SEARCH("F",G202)))</formula>
    </cfRule>
  </conditionalFormatting>
  <conditionalFormatting sqref="G204:H204">
    <cfRule type="containsText" dxfId="261" priority="1" operator="containsText" text="R">
      <formula>NOT(ISERROR(SEARCH("R",G204)))</formula>
    </cfRule>
    <cfRule type="containsText" dxfId="260" priority="2" operator="containsText" text="F">
      <formula>NOT(ISERROR(SEARCH("F",G204)))</formula>
    </cfRule>
  </conditionalFormatting>
  <conditionalFormatting sqref="H129:H131">
    <cfRule type="containsText" dxfId="259" priority="65" operator="containsText" text="R">
      <formula>NOT(ISERROR(SEARCH("R",H129)))</formula>
    </cfRule>
    <cfRule type="containsText" dxfId="258" priority="66" operator="containsText" text="F">
      <formula>NOT(ISERROR(SEARCH("F",H129)))</formula>
    </cfRule>
  </conditionalFormatting>
  <conditionalFormatting sqref="H162:H164">
    <cfRule type="containsText" dxfId="257" priority="45" operator="containsText" text="R">
      <formula>NOT(ISERROR(SEARCH("R",H162)))</formula>
    </cfRule>
    <cfRule type="containsText" dxfId="256" priority="46" operator="containsText" text="F">
      <formula>NOT(ISERROR(SEARCH("F",H162)))</formula>
    </cfRule>
  </conditionalFormatting>
  <conditionalFormatting sqref="H195:H197">
    <cfRule type="containsText" dxfId="255" priority="25" operator="containsText" text="R">
      <formula>NOT(ISERROR(SEARCH("R",H195)))</formula>
    </cfRule>
    <cfRule type="containsText" dxfId="254" priority="26" operator="containsText" text="F">
      <formula>NOT(ISERROR(SEARCH("F",H195)))</formula>
    </cfRule>
  </conditionalFormatting>
  <dataValidations count="1">
    <dataValidation type="decimal" allowBlank="1" showInputMessage="1" showErrorMessage="1" sqref="C9:C13 C17:C21 C25:C29 C38:C40 C43:C44" xr:uid="{CDB4EEC6-14E2-4771-94E1-F193D92DC6D1}">
      <formula1>0.00001</formula1>
      <formula2>200000</formula2>
    </dataValidation>
  </dataValidations>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65BC-AFFC-4315-A965-FBD36B33D4FF}">
  <sheetPr codeName="Sheet18">
    <tabColor theme="5" tint="0.39997558519241921"/>
  </sheetPr>
  <dimension ref="A1:AD60"/>
  <sheetViews>
    <sheetView showGridLines="0" zoomScale="190" zoomScaleNormal="190" workbookViewId="0"/>
  </sheetViews>
  <sheetFormatPr defaultRowHeight="15" x14ac:dyDescent="0.25"/>
  <cols>
    <col min="2" max="2" width="20.140625" customWidth="1"/>
    <col min="3" max="3" width="12.28515625" customWidth="1"/>
    <col min="4" max="4" width="4.42578125" customWidth="1"/>
    <col min="5" max="5" width="18.5703125" customWidth="1"/>
    <col min="6" max="6" width="14.85546875" customWidth="1"/>
    <col min="7" max="7" width="4.5703125" customWidth="1"/>
    <col min="8" max="8" width="14" customWidth="1"/>
    <col min="9" max="9" width="25.85546875" customWidth="1"/>
    <col min="10" max="10" width="16.28515625" customWidth="1"/>
    <col min="11" max="11" width="5.7109375" customWidth="1"/>
    <col min="12" max="12" width="20.5703125" customWidth="1"/>
    <col min="29" max="29" width="12.28515625" bestFit="1" customWidth="1"/>
    <col min="30" max="30" width="14" customWidth="1"/>
  </cols>
  <sheetData>
    <row r="1" spans="1:30" x14ac:dyDescent="0.25">
      <c r="AA1" s="437"/>
      <c r="AB1" s="437"/>
      <c r="AC1" s="437"/>
      <c r="AD1" s="437"/>
    </row>
    <row r="2" spans="1:30" ht="36.75" customHeight="1" thickBot="1" x14ac:dyDescent="0.5">
      <c r="B2" s="214" t="s">
        <v>955</v>
      </c>
      <c r="C2" s="231"/>
      <c r="D2" s="231"/>
      <c r="E2" s="100"/>
      <c r="F2" s="100"/>
      <c r="G2" s="100"/>
      <c r="H2" s="100"/>
      <c r="I2" s="100"/>
      <c r="J2" s="100"/>
      <c r="K2" s="100"/>
      <c r="L2" s="108"/>
      <c r="M2" s="3"/>
      <c r="AA2" s="437"/>
      <c r="AB2" s="437"/>
      <c r="AC2" s="437"/>
      <c r="AD2" s="437"/>
    </row>
    <row r="3" spans="1:30" x14ac:dyDescent="0.25">
      <c r="A3" s="18"/>
      <c r="B3" s="81" t="s">
        <v>0</v>
      </c>
      <c r="C3" s="79"/>
      <c r="D3" s="82" t="s">
        <v>1</v>
      </c>
      <c r="E3" s="82"/>
      <c r="F3" s="109" t="s">
        <v>978</v>
      </c>
      <c r="G3" s="79"/>
      <c r="H3" s="79"/>
      <c r="I3" s="79" t="s">
        <v>908</v>
      </c>
      <c r="J3" s="79"/>
      <c r="L3" s="365"/>
      <c r="AA3" s="437"/>
      <c r="AB3" s="437"/>
      <c r="AC3" s="437"/>
      <c r="AD3" s="437"/>
    </row>
    <row r="4" spans="1:30" x14ac:dyDescent="0.25">
      <c r="B4" s="17"/>
      <c r="L4" s="18"/>
      <c r="AA4" s="437"/>
      <c r="AB4" s="437"/>
      <c r="AC4" s="437"/>
      <c r="AD4" s="437"/>
    </row>
    <row r="5" spans="1:30" ht="18.75" x14ac:dyDescent="0.3">
      <c r="B5" s="375" t="s">
        <v>957</v>
      </c>
      <c r="C5" t="s">
        <v>959</v>
      </c>
      <c r="L5" s="18"/>
      <c r="AA5" s="437"/>
      <c r="AB5" s="437"/>
      <c r="AC5" s="437"/>
      <c r="AD5" s="437"/>
    </row>
    <row r="6" spans="1:30" ht="18.75" x14ac:dyDescent="0.3">
      <c r="A6" s="18"/>
      <c r="B6" s="459" t="s">
        <v>958</v>
      </c>
      <c r="C6" t="s">
        <v>1061</v>
      </c>
      <c r="L6" s="18"/>
      <c r="AA6" s="437" t="s">
        <v>941</v>
      </c>
      <c r="AB6" s="437"/>
      <c r="AC6" s="437" t="s">
        <v>969</v>
      </c>
      <c r="AD6" s="437">
        <v>19.2</v>
      </c>
    </row>
    <row r="7" spans="1:30" x14ac:dyDescent="0.25">
      <c r="A7" s="18"/>
      <c r="C7" t="s">
        <v>1062</v>
      </c>
      <c r="L7" s="18"/>
      <c r="AA7" s="437" t="s">
        <v>940</v>
      </c>
      <c r="AB7" s="437"/>
      <c r="AC7" s="437" t="s">
        <v>970</v>
      </c>
      <c r="AD7" s="437">
        <v>19.5</v>
      </c>
    </row>
    <row r="8" spans="1:30" x14ac:dyDescent="0.25">
      <c r="A8" s="18"/>
      <c r="C8" t="s">
        <v>960</v>
      </c>
      <c r="L8" s="18"/>
      <c r="AA8" s="437" t="s">
        <v>939</v>
      </c>
      <c r="AB8" s="437"/>
      <c r="AC8" s="437" t="s">
        <v>971</v>
      </c>
      <c r="AD8" s="437">
        <v>20.399999999999999</v>
      </c>
    </row>
    <row r="9" spans="1:30" x14ac:dyDescent="0.25">
      <c r="A9" s="18"/>
      <c r="C9" t="s">
        <v>1063</v>
      </c>
      <c r="L9" s="18"/>
      <c r="AA9" s="437"/>
      <c r="AB9" s="437"/>
      <c r="AC9" s="437" t="s">
        <v>947</v>
      </c>
      <c r="AD9" s="437">
        <v>0.1</v>
      </c>
    </row>
    <row r="10" spans="1:30" ht="26.25" customHeight="1" x14ac:dyDescent="0.3">
      <c r="A10" s="18"/>
      <c r="B10" s="460" t="s">
        <v>948</v>
      </c>
      <c r="C10" s="233"/>
      <c r="L10" s="18"/>
      <c r="AA10" s="437"/>
      <c r="AB10" s="437"/>
      <c r="AC10" s="437" t="s">
        <v>945</v>
      </c>
      <c r="AD10" s="437">
        <v>0.2</v>
      </c>
    </row>
    <row r="11" spans="1:30" x14ac:dyDescent="0.25">
      <c r="A11" s="18"/>
      <c r="L11" s="18"/>
      <c r="AA11" s="437"/>
      <c r="AB11" s="437"/>
      <c r="AC11" s="437"/>
      <c r="AD11" s="437"/>
    </row>
    <row r="12" spans="1:30" x14ac:dyDescent="0.25">
      <c r="A12" s="18"/>
      <c r="L12" s="18"/>
      <c r="AA12" s="437"/>
      <c r="AB12" s="437"/>
      <c r="AC12" s="437"/>
      <c r="AD12" s="437"/>
    </row>
    <row r="13" spans="1:30" ht="15.75" x14ac:dyDescent="0.25">
      <c r="A13" s="18"/>
      <c r="B13" s="461" t="str">
        <f>IF($C$10=0,"Skriv hvor meget AgNO₃, du vil tilsætte i det lyseblå felt",IF($C$10&lt;19.25,"Opløsningen er gul. Du har endnu ikke nået ækvivalenspunktet",IF($C$10&lt;19.5,"Godt - opløsningen er svagt orange! Dette er ækvivalenspunktet",IF($C$10&lt;19.8,"Det er acceptabelt, men du skal stoppe nu!",IF($C$10&lt;1000,"Pokkers, du har jo overtitreret. Start forfra","Du har indtastet noget fjollet i feltet. Det skal være en talværdi")))))</f>
        <v>Skriv hvor meget AgNO₃, du vil tilsætte i det lyseblå felt</v>
      </c>
      <c r="L13" s="18"/>
      <c r="AA13" s="437"/>
      <c r="AB13" s="437"/>
      <c r="AC13" s="437"/>
      <c r="AD13" s="437"/>
    </row>
    <row r="14" spans="1:30" x14ac:dyDescent="0.25">
      <c r="A14" s="18"/>
      <c r="L14" s="18"/>
      <c r="AA14" s="437"/>
      <c r="AB14" s="437"/>
      <c r="AC14" s="437"/>
      <c r="AD14" s="437"/>
    </row>
    <row r="15" spans="1:30" x14ac:dyDescent="0.25">
      <c r="A15" s="18"/>
      <c r="L15" s="18"/>
      <c r="AA15" s="437"/>
      <c r="AB15" s="437"/>
      <c r="AC15" s="437"/>
      <c r="AD15" s="437"/>
    </row>
    <row r="16" spans="1:30" x14ac:dyDescent="0.25">
      <c r="A16" s="18"/>
      <c r="L16" s="18"/>
      <c r="AA16" s="437"/>
      <c r="AB16" s="437"/>
      <c r="AC16" s="437"/>
      <c r="AD16" s="437"/>
    </row>
    <row r="17" spans="1:30" ht="32.25" customHeight="1" x14ac:dyDescent="0.25">
      <c r="A17" s="18"/>
      <c r="B17" s="462" t="str">
        <f>IF(AND(C10&gt;19.2,C10&lt;20.1),"Sådan! - nu er du færdig med din titrering"&amp;CHAR(10)&amp;"Du er nu klar til efterbehandlingen, som står under tabellerne","")</f>
        <v/>
      </c>
      <c r="C17" s="169"/>
      <c r="D17" s="169"/>
      <c r="E17" s="169"/>
      <c r="F17" s="216"/>
      <c r="G17" s="217"/>
      <c r="L17" s="18"/>
      <c r="AA17" s="437"/>
      <c r="AB17" s="437"/>
      <c r="AC17" s="437"/>
      <c r="AD17" s="437"/>
    </row>
    <row r="18" spans="1:30" x14ac:dyDescent="0.25">
      <c r="A18" s="18"/>
      <c r="F18" s="216"/>
      <c r="G18" s="217"/>
      <c r="L18" s="18"/>
      <c r="AA18" s="437"/>
      <c r="AB18" s="437"/>
      <c r="AC18" s="437"/>
      <c r="AD18" s="437"/>
    </row>
    <row r="19" spans="1:30" x14ac:dyDescent="0.25">
      <c r="A19" s="18"/>
      <c r="F19" s="219">
        <f t="shared" ref="F19:G23" si="0">$C$10</f>
        <v>0</v>
      </c>
      <c r="G19" s="220">
        <f t="shared" si="0"/>
        <v>0</v>
      </c>
      <c r="L19" s="18"/>
      <c r="AA19" s="437"/>
      <c r="AB19" s="437"/>
      <c r="AC19" s="437"/>
      <c r="AD19" s="437"/>
    </row>
    <row r="20" spans="1:30" x14ac:dyDescent="0.25">
      <c r="A20" s="18"/>
      <c r="B20" s="463" t="s">
        <v>938</v>
      </c>
      <c r="C20" s="218" t="s">
        <v>943</v>
      </c>
      <c r="F20" s="219">
        <f t="shared" si="0"/>
        <v>0</v>
      </c>
      <c r="G20" s="220">
        <f t="shared" si="0"/>
        <v>0</v>
      </c>
      <c r="L20" s="18"/>
      <c r="AA20" s="437"/>
      <c r="AB20" s="437"/>
      <c r="AC20" s="437"/>
      <c r="AD20" s="437"/>
    </row>
    <row r="21" spans="1:30" x14ac:dyDescent="0.25">
      <c r="A21" s="18"/>
      <c r="B21" s="464" t="s">
        <v>952</v>
      </c>
      <c r="C21" s="224">
        <f>AD6</f>
        <v>19.2</v>
      </c>
      <c r="F21" s="219">
        <f t="shared" si="0"/>
        <v>0</v>
      </c>
      <c r="G21" s="220">
        <f t="shared" si="0"/>
        <v>0</v>
      </c>
      <c r="L21" s="18"/>
      <c r="AA21" s="437"/>
      <c r="AB21" s="437"/>
      <c r="AC21" s="437"/>
      <c r="AD21" s="437"/>
    </row>
    <row r="22" spans="1:30" x14ac:dyDescent="0.25">
      <c r="A22" s="18"/>
      <c r="B22" s="465" t="s">
        <v>953</v>
      </c>
      <c r="C22" s="223">
        <f>AD7</f>
        <v>19.5</v>
      </c>
      <c r="F22" s="219">
        <f t="shared" si="0"/>
        <v>0</v>
      </c>
      <c r="G22" s="220">
        <f t="shared" si="0"/>
        <v>0</v>
      </c>
      <c r="L22" s="18"/>
      <c r="AA22" s="437"/>
      <c r="AB22" s="437"/>
      <c r="AC22" s="437"/>
      <c r="AD22" s="437"/>
    </row>
    <row r="23" spans="1:30" ht="15.75" thickBot="1" x14ac:dyDescent="0.3">
      <c r="A23" s="18"/>
      <c r="B23" s="466" t="s">
        <v>954</v>
      </c>
      <c r="C23" s="225">
        <f>AD8</f>
        <v>20.399999999999999</v>
      </c>
      <c r="F23" s="221">
        <f t="shared" si="0"/>
        <v>0</v>
      </c>
      <c r="G23" s="222">
        <f t="shared" si="0"/>
        <v>0</v>
      </c>
      <c r="L23" s="18"/>
      <c r="AA23" s="437"/>
      <c r="AB23" s="437"/>
      <c r="AC23" s="437"/>
      <c r="AD23" s="437"/>
    </row>
    <row r="24" spans="1:30" ht="14.25" customHeight="1" thickTop="1" x14ac:dyDescent="0.25">
      <c r="A24" s="18"/>
      <c r="F24" s="169" t="s">
        <v>956</v>
      </c>
      <c r="G24" s="169"/>
      <c r="L24" s="18"/>
      <c r="AA24" s="437"/>
      <c r="AB24" s="437"/>
      <c r="AC24" s="437"/>
      <c r="AD24" s="437"/>
    </row>
    <row r="25" spans="1:30" ht="14.25" customHeight="1" x14ac:dyDescent="0.25">
      <c r="A25" s="18"/>
      <c r="F25" s="169"/>
      <c r="G25" s="169"/>
      <c r="L25" s="18"/>
      <c r="AA25" s="437"/>
      <c r="AB25" s="437"/>
      <c r="AC25" s="437"/>
      <c r="AD25" s="437"/>
    </row>
    <row r="26" spans="1:30" x14ac:dyDescent="0.25">
      <c r="A26" s="18"/>
      <c r="B26" s="414" t="s">
        <v>949</v>
      </c>
      <c r="C26" s="414"/>
      <c r="D26" s="415"/>
      <c r="E26" s="416" t="s">
        <v>968</v>
      </c>
      <c r="F26" s="414" t="s">
        <v>967</v>
      </c>
      <c r="G26" s="416" t="s">
        <v>48</v>
      </c>
      <c r="H26" s="417" t="s">
        <v>942</v>
      </c>
      <c r="L26" s="18"/>
      <c r="AA26" s="437"/>
      <c r="AB26" s="437"/>
      <c r="AC26" s="437"/>
      <c r="AD26" s="437"/>
    </row>
    <row r="27" spans="1:30" x14ac:dyDescent="0.25">
      <c r="A27" s="18"/>
      <c r="B27" s="499" t="s">
        <v>946</v>
      </c>
      <c r="C27" s="499"/>
      <c r="D27" s="500"/>
      <c r="E27" s="418">
        <f>C10*AD9</f>
        <v>0</v>
      </c>
      <c r="F27" s="419">
        <f>AD27</f>
        <v>1.9275</v>
      </c>
      <c r="G27" s="420"/>
      <c r="H27" s="421">
        <v>0</v>
      </c>
      <c r="L27" s="18"/>
      <c r="AA27" s="437"/>
      <c r="AB27" s="437"/>
      <c r="AC27" s="437"/>
      <c r="AD27" s="437">
        <v>1.9275</v>
      </c>
    </row>
    <row r="28" spans="1:30" x14ac:dyDescent="0.25">
      <c r="A28" s="18"/>
      <c r="B28" s="499" t="s">
        <v>963</v>
      </c>
      <c r="C28" s="499"/>
      <c r="D28" s="500"/>
      <c r="E28" s="418">
        <f>IF(E27-F27&lt;0,0,E27-F27)</f>
        <v>0</v>
      </c>
      <c r="F28" s="422">
        <f>IF(F27-E27&lt;0,0,F27-E27)</f>
        <v>1.9275</v>
      </c>
      <c r="G28" s="423"/>
      <c r="H28" s="424" t="str">
        <f>IF(F27=F28,"0 mmol",F27-F28)</f>
        <v>0 mmol</v>
      </c>
      <c r="L28" s="18"/>
      <c r="AA28" s="437"/>
      <c r="AB28" s="437"/>
      <c r="AC28" s="437"/>
      <c r="AD28" s="437"/>
    </row>
    <row r="29" spans="1:30" x14ac:dyDescent="0.25">
      <c r="A29" s="18"/>
      <c r="B29" s="425"/>
      <c r="C29" s="425"/>
      <c r="D29" s="425"/>
      <c r="E29" s="425"/>
      <c r="F29" s="425"/>
      <c r="G29" s="425"/>
      <c r="H29" s="425"/>
      <c r="L29" s="18"/>
      <c r="AA29" s="437"/>
      <c r="AB29" s="437"/>
      <c r="AC29" s="437"/>
      <c r="AD29" s="437"/>
    </row>
    <row r="30" spans="1:30" x14ac:dyDescent="0.25">
      <c r="A30" s="18"/>
      <c r="B30" s="414" t="s">
        <v>950</v>
      </c>
      <c r="C30" s="414"/>
      <c r="D30" s="415"/>
      <c r="E30" s="416" t="s">
        <v>962</v>
      </c>
      <c r="F30" s="426" t="s">
        <v>961</v>
      </c>
      <c r="G30" s="416" t="s">
        <v>48</v>
      </c>
      <c r="H30" s="427" t="s">
        <v>944</v>
      </c>
      <c r="L30" s="18"/>
      <c r="AA30" s="437"/>
      <c r="AB30" s="437"/>
      <c r="AC30" s="437"/>
      <c r="AD30" s="437"/>
    </row>
    <row r="31" spans="1:30" x14ac:dyDescent="0.25">
      <c r="A31" s="18"/>
      <c r="B31" s="499" t="s">
        <v>965</v>
      </c>
      <c r="C31" s="499"/>
      <c r="D31" s="500"/>
      <c r="E31" s="428">
        <f>E28</f>
        <v>0</v>
      </c>
      <c r="F31" s="429">
        <f>AD10</f>
        <v>0.2</v>
      </c>
      <c r="G31" s="430"/>
      <c r="H31" s="421">
        <v>0</v>
      </c>
      <c r="L31" s="18"/>
      <c r="AA31" s="437"/>
      <c r="AB31" s="437"/>
      <c r="AC31" s="437"/>
      <c r="AD31" s="437"/>
    </row>
    <row r="32" spans="1:30" ht="12.75" customHeight="1" x14ac:dyDescent="0.25">
      <c r="A32" s="18"/>
      <c r="B32" s="499" t="s">
        <v>964</v>
      </c>
      <c r="C32" s="499"/>
      <c r="D32" s="500"/>
      <c r="E32" s="418">
        <f>IF(E31-2*AD10&lt;0,0,E31-2*AD10)</f>
        <v>0</v>
      </c>
      <c r="F32" s="429">
        <f>IF(AD10-E31&lt;0,0,AD10-E31)</f>
        <v>0.2</v>
      </c>
      <c r="G32" s="430"/>
      <c r="H32" s="424" t="str">
        <f>IF(F31=F32,"0 mmol",F31-F32)</f>
        <v>0 mmol</v>
      </c>
      <c r="L32" s="18"/>
      <c r="AA32" s="437"/>
      <c r="AB32" s="437"/>
      <c r="AC32" s="437"/>
      <c r="AD32" s="437"/>
    </row>
    <row r="33" spans="1:30" x14ac:dyDescent="0.25">
      <c r="A33" s="18"/>
      <c r="L33" s="18"/>
      <c r="AA33" s="437"/>
      <c r="AB33" s="437"/>
      <c r="AC33" s="437"/>
      <c r="AD33" s="437"/>
    </row>
    <row r="34" spans="1:30" x14ac:dyDescent="0.25">
      <c r="A34" s="18"/>
      <c r="L34" s="18"/>
      <c r="AA34" s="437"/>
      <c r="AB34" s="437"/>
      <c r="AC34" s="437"/>
      <c r="AD34" s="437"/>
    </row>
    <row r="35" spans="1:30" ht="18.75" x14ac:dyDescent="0.3">
      <c r="A35" s="18"/>
      <c r="B35" s="459" t="s">
        <v>966</v>
      </c>
      <c r="C35" t="s">
        <v>979</v>
      </c>
      <c r="L35" s="18"/>
      <c r="AA35" s="437"/>
      <c r="AB35" s="437"/>
      <c r="AC35" s="437"/>
      <c r="AD35" s="437"/>
    </row>
    <row r="36" spans="1:30" x14ac:dyDescent="0.25">
      <c r="A36" s="18"/>
      <c r="L36" s="18"/>
      <c r="AA36" s="437"/>
      <c r="AB36" s="437"/>
      <c r="AC36" s="437"/>
      <c r="AD36" s="437"/>
    </row>
    <row r="37" spans="1:30" ht="18.75" x14ac:dyDescent="0.3">
      <c r="A37" s="18"/>
      <c r="B37" s="467" t="s">
        <v>972</v>
      </c>
      <c r="C37" s="232"/>
      <c r="D37" s="190" t="str">
        <f t="shared" ref="D37:D42" si="1">IF(OR(C37="",AD37=0),"",IF(ABS(C37-AD37)/AD37&lt;0.02,"R","F"))</f>
        <v/>
      </c>
      <c r="L37" s="18"/>
      <c r="AA37" s="437"/>
      <c r="AB37" s="437"/>
      <c r="AC37" s="437"/>
      <c r="AD37" s="451">
        <f>C10*AD9</f>
        <v>0</v>
      </c>
    </row>
    <row r="38" spans="1:30" ht="18.75" x14ac:dyDescent="0.3">
      <c r="A38" s="18"/>
      <c r="B38" s="467" t="s">
        <v>973</v>
      </c>
      <c r="C38" s="232"/>
      <c r="D38" s="190" t="str">
        <f t="shared" si="1"/>
        <v/>
      </c>
      <c r="L38" s="18"/>
      <c r="AA38" s="437"/>
      <c r="AB38" s="437"/>
      <c r="AC38" s="437"/>
      <c r="AD38" s="451">
        <f>AD37</f>
        <v>0</v>
      </c>
    </row>
    <row r="39" spans="1:30" ht="18.75" x14ac:dyDescent="0.3">
      <c r="A39" s="18"/>
      <c r="B39" s="467" t="s">
        <v>974</v>
      </c>
      <c r="C39" s="141"/>
      <c r="D39" s="190" t="str">
        <f t="shared" si="1"/>
        <v/>
      </c>
      <c r="L39" s="18"/>
      <c r="AA39" s="437"/>
      <c r="AB39" s="437"/>
      <c r="AC39" s="437"/>
      <c r="AD39" s="437">
        <v>58.44</v>
      </c>
    </row>
    <row r="40" spans="1:30" ht="18.75" x14ac:dyDescent="0.3">
      <c r="A40" s="18"/>
      <c r="B40" s="467" t="s">
        <v>975</v>
      </c>
      <c r="C40" s="143"/>
      <c r="D40" s="190" t="str">
        <f t="shared" si="1"/>
        <v/>
      </c>
      <c r="L40" s="18"/>
      <c r="AA40" s="437"/>
      <c r="AB40" s="437"/>
      <c r="AC40" s="437"/>
      <c r="AD40" s="437">
        <f>AD38*AD39/1000</f>
        <v>0</v>
      </c>
    </row>
    <row r="41" spans="1:30" ht="18.75" x14ac:dyDescent="0.3">
      <c r="A41" s="18"/>
      <c r="B41" s="467" t="s">
        <v>976</v>
      </c>
      <c r="C41" s="234"/>
      <c r="D41" s="190" t="str">
        <f t="shared" si="1"/>
        <v/>
      </c>
      <c r="L41" s="18"/>
      <c r="AA41" s="437"/>
      <c r="AB41" s="437"/>
      <c r="AC41" s="437"/>
      <c r="AD41" s="437">
        <v>10</v>
      </c>
    </row>
    <row r="42" spans="1:30" ht="18.75" x14ac:dyDescent="0.3">
      <c r="A42" s="18"/>
      <c r="B42" s="467" t="s">
        <v>977</v>
      </c>
      <c r="C42" s="235"/>
      <c r="D42" s="190" t="str">
        <f t="shared" si="1"/>
        <v/>
      </c>
      <c r="L42" s="18"/>
      <c r="AA42" s="437"/>
      <c r="AB42" s="437"/>
      <c r="AC42" s="452">
        <v>1.1520000000000001E-2</v>
      </c>
      <c r="AD42" s="453">
        <f>AD40/AD41</f>
        <v>0</v>
      </c>
    </row>
    <row r="43" spans="1:30" x14ac:dyDescent="0.25">
      <c r="A43" s="18"/>
      <c r="L43" s="18"/>
      <c r="AA43" s="437"/>
      <c r="AB43" s="437"/>
      <c r="AC43" s="437"/>
      <c r="AD43" s="437"/>
    </row>
    <row r="44" spans="1:30" x14ac:dyDescent="0.25">
      <c r="A44" s="18"/>
      <c r="L44" s="18"/>
      <c r="AA44" s="437"/>
      <c r="AB44" s="437"/>
      <c r="AC44" s="437"/>
      <c r="AD44" s="437"/>
    </row>
    <row r="45" spans="1:30" ht="18.75" x14ac:dyDescent="0.3">
      <c r="A45" s="18"/>
      <c r="B45" s="459" t="s">
        <v>980</v>
      </c>
      <c r="C45" t="s">
        <v>991</v>
      </c>
      <c r="L45" s="18"/>
      <c r="AA45" s="437"/>
      <c r="AB45" s="437"/>
      <c r="AC45" s="437"/>
      <c r="AD45" s="437"/>
    </row>
    <row r="46" spans="1:30" ht="18.75" x14ac:dyDescent="0.3">
      <c r="A46" s="18"/>
      <c r="B46" s="467" t="s">
        <v>981</v>
      </c>
      <c r="C46" s="235"/>
      <c r="D46" s="190" t="str">
        <f>IF(OR(C46="",AD46=0),"",IF(ABS(C46-AD46)/(AD46*100)&lt;0.05,"R","F"))</f>
        <v/>
      </c>
      <c r="E46" t="str">
        <f>IF(D46="R","Godt, du har altså bestemt saltindholdet i toastbrød til at være "&amp;C42*100&amp;"%, hvilket er "&amp;C46*100&amp;"% "&amp;IF(AC42&gt;AD42,"lavere","højere")&amp;" end etiketteværdien på "&amp;AC42*100&amp;"%","")</f>
        <v/>
      </c>
      <c r="L46" s="18"/>
      <c r="AA46" s="437"/>
      <c r="AB46" s="437"/>
      <c r="AC46" s="437"/>
      <c r="AD46" s="453">
        <f>ABS(AC42-AD42)/AC42</f>
        <v>1</v>
      </c>
    </row>
    <row r="47" spans="1:30" x14ac:dyDescent="0.25">
      <c r="A47" s="18"/>
      <c r="L47" s="18"/>
      <c r="AA47" s="437"/>
      <c r="AB47" s="437"/>
      <c r="AC47" s="437"/>
      <c r="AD47" s="437"/>
    </row>
    <row r="48" spans="1:30" x14ac:dyDescent="0.25">
      <c r="A48" s="18"/>
      <c r="B48" s="1" t="s">
        <v>1064</v>
      </c>
      <c r="L48" s="18"/>
      <c r="AA48" s="437"/>
      <c r="AB48" s="437"/>
      <c r="AC48" s="437"/>
      <c r="AD48" s="437"/>
    </row>
    <row r="49" spans="1:30" x14ac:dyDescent="0.25">
      <c r="A49" s="18"/>
      <c r="F49" s="28" t="s">
        <v>985</v>
      </c>
      <c r="H49" s="28" t="s">
        <v>986</v>
      </c>
      <c r="L49" s="18"/>
      <c r="AA49" s="437"/>
      <c r="AB49" s="437"/>
      <c r="AC49" s="437" t="s">
        <v>984</v>
      </c>
      <c r="AD49" s="437" t="s">
        <v>983</v>
      </c>
    </row>
    <row r="50" spans="1:30" ht="18.75" x14ac:dyDescent="0.3">
      <c r="A50" s="18"/>
      <c r="B50" t="s">
        <v>987</v>
      </c>
      <c r="F50" s="236"/>
      <c r="G50" s="190" t="str">
        <f>IF(AC50="","",IF(AC50="wrong input","?",IF(AC50=AD50,"R",IF(AC50&lt;&gt;AD50,"F","?"))))</f>
        <v/>
      </c>
      <c r="H50" s="236"/>
      <c r="L50" s="18"/>
      <c r="AA50" s="437"/>
      <c r="AB50" s="437"/>
      <c r="AC50" s="437" t="str">
        <f>IF(AND(H50="",F50=""),"",IF(AND(LEN(H50)&gt;0,LEN(F50)=0),"TRUE",IF(AND(LEN(F50)&gt;0,LEN(H50)=0),"FALSE","Wrong input")))</f>
        <v/>
      </c>
      <c r="AD50" s="437" t="str">
        <f>IF(AC42&lt;C42,"TRUE","FALSE")</f>
        <v>FALSE</v>
      </c>
    </row>
    <row r="51" spans="1:30" x14ac:dyDescent="0.25">
      <c r="A51" s="18"/>
      <c r="B51" s="425" t="str">
        <f>IF(G50="","",IF(G50="R","Nemlig! Man undgår ikke at overtitrere en lille smule, hvilket medfører at saltindholdet beregnes lidt for højt. Hvis saltindholdet blev bestemt for lavt skyldes det imidlertid næppe overtitrering","Nej. Prøv at overvej det igen"))</f>
        <v/>
      </c>
      <c r="L51" s="18"/>
      <c r="AA51" s="437"/>
      <c r="AB51" s="437"/>
      <c r="AC51" s="437"/>
      <c r="AD51" s="437"/>
    </row>
    <row r="52" spans="1:30" x14ac:dyDescent="0.25">
      <c r="A52" s="18"/>
      <c r="L52" s="18"/>
      <c r="AA52" s="437"/>
      <c r="AB52" s="437"/>
      <c r="AC52" s="437"/>
      <c r="AD52" s="437"/>
    </row>
    <row r="53" spans="1:30" ht="18.75" x14ac:dyDescent="0.3">
      <c r="A53" s="18"/>
      <c r="B53" t="s">
        <v>989</v>
      </c>
      <c r="F53" s="236"/>
      <c r="G53" s="190" t="str">
        <f>IF(AC53="","",IF(AC53="wrong input","?",IF(AC53=AD53,"R",IF(AC53&lt;&gt;AD53,"F","?"))))</f>
        <v/>
      </c>
      <c r="H53" s="236"/>
      <c r="L53" s="18"/>
      <c r="AA53" s="437"/>
      <c r="AB53" s="437"/>
      <c r="AC53" s="437" t="str">
        <f>IF(AND(H53="",F53=""),"",IF(AND(LEN(H53)&gt;0,LEN(F53)=0),"TRUE",IF(AND(LEN(F53)&gt;0,LEN(H53)=0),"FALSE","Wrong input")))</f>
        <v/>
      </c>
      <c r="AD53" s="437" t="str">
        <f>IF(AC42&lt;C42,"TRUE","FALSE")</f>
        <v>FALSE</v>
      </c>
    </row>
    <row r="54" spans="1:30" x14ac:dyDescent="0.25">
      <c r="A54" s="18"/>
      <c r="B54" s="425" t="str">
        <f>IF(G53="","",IF(G53="R","Godt! Hvis c(AgNO₃) havde været lavere end antaget, skal der bruges et tilsvarende større volumen af AgNO₃. Det medfører, at vi efterfølgende beregner saltindholdet for højt","Forkert. Fejlkilden kan ikke udelukkes, men afspejles ikke i vores resultat"))</f>
        <v/>
      </c>
      <c r="L54" s="18"/>
      <c r="AA54" s="437"/>
      <c r="AB54" s="437"/>
      <c r="AC54" s="437"/>
      <c r="AD54" s="437"/>
    </row>
    <row r="55" spans="1:30" x14ac:dyDescent="0.25">
      <c r="B55" s="17"/>
      <c r="L55" s="18"/>
      <c r="AA55" s="437"/>
      <c r="AB55" s="437"/>
      <c r="AC55" s="437"/>
      <c r="AD55" s="437"/>
    </row>
    <row r="56" spans="1:30" ht="18.75" x14ac:dyDescent="0.3">
      <c r="B56" s="17" t="s">
        <v>988</v>
      </c>
      <c r="F56" s="236"/>
      <c r="G56" s="190" t="str">
        <f>IF(AC56="","",IF(AC56="wrong input","?",IF(AC56=AD56,"R",IF(AC56&lt;&gt;AD56,"F","?"))))</f>
        <v/>
      </c>
      <c r="H56" s="236"/>
      <c r="L56" s="18"/>
      <c r="AA56" s="437"/>
      <c r="AB56" s="437"/>
      <c r="AC56" s="437" t="str">
        <f>IF(AND(H56="",F56=""),"",IF(AND(LEN(H56)&gt;0,LEN(F56)=0),"TRUE",IF(AND(LEN(F56)&gt;0,LEN(H56)=0),"FALSE","Wrong input")))</f>
        <v/>
      </c>
      <c r="AD56" s="437" t="str">
        <f>"TRUE"</f>
        <v>TRUE</v>
      </c>
    </row>
    <row r="57" spans="1:30" x14ac:dyDescent="0.25">
      <c r="B57" s="376" t="str">
        <f>IF(G56="","",IF(G56="R","Godt. Producenter lyver sjældent, men vores 10,0 g afspejler næppe hele toastposens indhold. Hvis vi ønskede en homogen blanding, skulle hele posens indhold blendes inden forsøget","Prøv igen ;)"))</f>
        <v/>
      </c>
      <c r="L57" s="18"/>
      <c r="AA57" s="437"/>
      <c r="AB57" s="437"/>
      <c r="AC57" s="437"/>
      <c r="AD57" s="437"/>
    </row>
    <row r="58" spans="1:30" x14ac:dyDescent="0.25">
      <c r="B58" s="17"/>
      <c r="L58" s="18"/>
      <c r="AA58" s="437"/>
      <c r="AB58" s="437"/>
      <c r="AC58" s="437"/>
      <c r="AD58" s="437"/>
    </row>
    <row r="59" spans="1:30" ht="18.75" x14ac:dyDescent="0.3">
      <c r="B59" s="17" t="s">
        <v>990</v>
      </c>
      <c r="F59" s="236"/>
      <c r="G59" s="190" t="str">
        <f>IF(AC59="","",IF(AC59="wrong input","?",IF(AC59=AD59,"R",IF(AC59&lt;&gt;AD59,"F","?"))))</f>
        <v/>
      </c>
      <c r="H59" s="236"/>
      <c r="L59" s="18"/>
      <c r="AA59" s="437"/>
      <c r="AB59" s="437"/>
      <c r="AC59" s="437" t="str">
        <f>IF(AND(H59="",F59=""),"",IF(AND(LEN(H59)&gt;0,LEN(F59)=0),"TRUE",IF(AND(LEN(F59)&gt;0,LEN(H59)=0),"FALSE","Wrong input")))</f>
        <v/>
      </c>
      <c r="AD59" s="437" t="str">
        <f>IF(AC42&lt;C42,"TRUE","FALSE")</f>
        <v>FALSE</v>
      </c>
    </row>
    <row r="60" spans="1:30" x14ac:dyDescent="0.25">
      <c r="B60" s="376" t="str">
        <f>IF(G59="","",IF(G59="R","Godt! Hvis der havde været luftbobler i buretten, ville vi have brugt et for stort volumen af AgNO₃. Det ville medføre, at vi efterfølgende beregner saltindholdet for højt","Forkert. Luftbobler kan ikke udelukkes, men afspejles ikke i vores resultat"))</f>
        <v/>
      </c>
      <c r="L60" s="18"/>
      <c r="AA60" s="437"/>
      <c r="AB60" s="437"/>
      <c r="AC60" s="437"/>
      <c r="AD60" s="437"/>
    </row>
  </sheetData>
  <sheetProtection algorithmName="SHA-512" hashValue="13iYFFJlZO+Z3TDh3EhjIwl+ucSBySVYnI8fgozH3jPW8pTowlVc+HOS9u+ngkWVypiLVVHDVlgZkX/gBM2lRA==" saltValue="h3z8VvjYxewCtj44YuN7Ag==" spinCount="100000" sheet="1" objects="1" scenarios="1" formatColumns="0" formatRows="0"/>
  <mergeCells count="4">
    <mergeCell ref="B27:D27"/>
    <mergeCell ref="B28:D28"/>
    <mergeCell ref="B31:D31"/>
    <mergeCell ref="B32:D32"/>
  </mergeCells>
  <conditionalFormatting sqref="D37:D42">
    <cfRule type="containsText" dxfId="253" priority="15" operator="containsText" text="R">
      <formula>NOT(ISERROR(SEARCH("R",D37)))</formula>
    </cfRule>
    <cfRule type="containsText" dxfId="252" priority="16" operator="containsText" text="F">
      <formula>NOT(ISERROR(SEARCH("F",D37)))</formula>
    </cfRule>
  </conditionalFormatting>
  <conditionalFormatting sqref="D46">
    <cfRule type="containsText" dxfId="251" priority="1" operator="containsText" text="R">
      <formula>NOT(ISERROR(SEARCH("R",D46)))</formula>
    </cfRule>
    <cfRule type="containsText" dxfId="250" priority="2" operator="containsText" text="F">
      <formula>NOT(ISERROR(SEARCH("F",D46)))</formula>
    </cfRule>
  </conditionalFormatting>
  <conditionalFormatting sqref="E2:F2 H2">
    <cfRule type="containsText" dxfId="249" priority="113" operator="containsText" text="R">
      <formula>NOT(ISERROR(SEARCH("R",E2)))</formula>
    </cfRule>
    <cfRule type="containsText" dxfId="248" priority="114" operator="containsText" text="F">
      <formula>NOT(ISERROR(SEARCH("F",E2)))</formula>
    </cfRule>
  </conditionalFormatting>
  <conditionalFormatting sqref="F19:G23">
    <cfRule type="colorScale" priority="307">
      <colorScale>
        <cfvo type="formula" val="$AD$6"/>
        <cfvo type="formula" val="$AD$7"/>
        <cfvo type="formula" val="$AD$8"/>
        <color rgb="FFE3FE44"/>
        <color rgb="FFFFB24B"/>
        <color rgb="FFC00000"/>
      </colorScale>
    </cfRule>
  </conditionalFormatting>
  <conditionalFormatting sqref="G50">
    <cfRule type="containsText" dxfId="247" priority="9" operator="containsText" text="R">
      <formula>NOT(ISERROR(SEARCH("R",G50)))</formula>
    </cfRule>
    <cfRule type="containsText" dxfId="246" priority="10" operator="containsText" text="F">
      <formula>NOT(ISERROR(SEARCH("F",G50)))</formula>
    </cfRule>
  </conditionalFormatting>
  <conditionalFormatting sqref="G53">
    <cfRule type="containsText" dxfId="245" priority="7" operator="containsText" text="R">
      <formula>NOT(ISERROR(SEARCH("R",G53)))</formula>
    </cfRule>
    <cfRule type="containsText" dxfId="244" priority="8" operator="containsText" text="F">
      <formula>NOT(ISERROR(SEARCH("F",G53)))</formula>
    </cfRule>
  </conditionalFormatting>
  <conditionalFormatting sqref="G56">
    <cfRule type="containsText" dxfId="243" priority="5" operator="containsText" text="R">
      <formula>NOT(ISERROR(SEARCH("R",G56)))</formula>
    </cfRule>
    <cfRule type="containsText" dxfId="242" priority="6" operator="containsText" text="F">
      <formula>NOT(ISERROR(SEARCH("F",G56)))</formula>
    </cfRule>
  </conditionalFormatting>
  <conditionalFormatting sqref="G59">
    <cfRule type="containsText" dxfId="241" priority="3" operator="containsText" text="R">
      <formula>NOT(ISERROR(SEARCH("R",G59)))</formula>
    </cfRule>
    <cfRule type="containsText" dxfId="240" priority="4" operator="containsText" text="F">
      <formula>NOT(ISERROR(SEARCH("F",G59)))</formula>
    </cfRule>
  </conditionalFormatting>
  <dataValidations count="1">
    <dataValidation type="decimal" allowBlank="1" showInputMessage="1" showErrorMessage="1" sqref="C10 C37:C42 C46" xr:uid="{ECB13D28-14F0-4ED5-ACC6-5848DF362BE1}">
      <formula1>0.000000000001</formula1>
      <formula2>14444</formula2>
    </dataValidation>
  </dataValidation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63049-858F-47D5-A768-209423328F88}">
  <sheetPr codeName="Sheet11"/>
  <dimension ref="B1:AC25"/>
  <sheetViews>
    <sheetView showGridLines="0" zoomScale="145" zoomScaleNormal="145" workbookViewId="0"/>
  </sheetViews>
  <sheetFormatPr defaultRowHeight="15" x14ac:dyDescent="0.25"/>
  <cols>
    <col min="2" max="2" width="20.140625" customWidth="1"/>
    <col min="3" max="3" width="66.42578125" customWidth="1"/>
    <col min="4" max="4" width="95.7109375" customWidth="1"/>
    <col min="5" max="5" width="12.7109375" customWidth="1"/>
    <col min="12" max="12" width="23.28515625" customWidth="1"/>
    <col min="27" max="27" width="39.28515625" customWidth="1"/>
  </cols>
  <sheetData>
    <row r="1" spans="2:29" x14ac:dyDescent="0.25">
      <c r="AA1" s="437"/>
      <c r="AB1" s="437"/>
      <c r="AC1" s="437"/>
    </row>
    <row r="2" spans="2:29" ht="37.5" customHeight="1" x14ac:dyDescent="0.35">
      <c r="B2" s="403" t="s">
        <v>1049</v>
      </c>
      <c r="C2" s="404"/>
      <c r="D2" s="404"/>
      <c r="E2" s="398"/>
      <c r="M2" s="3"/>
      <c r="AA2" s="437"/>
      <c r="AB2" s="437"/>
      <c r="AC2" s="437"/>
    </row>
    <row r="3" spans="2:29" x14ac:dyDescent="0.25">
      <c r="B3" s="399" t="s">
        <v>1060</v>
      </c>
      <c r="C3" s="201"/>
      <c r="D3" s="201"/>
      <c r="E3" s="202"/>
      <c r="AA3" s="437"/>
      <c r="AB3" s="437"/>
      <c r="AC3" s="437"/>
    </row>
    <row r="4" spans="2:29" x14ac:dyDescent="0.25">
      <c r="B4" s="17"/>
      <c r="E4" s="18"/>
      <c r="AA4" s="437"/>
      <c r="AB4" s="437"/>
      <c r="AC4" s="437"/>
    </row>
    <row r="5" spans="2:29" x14ac:dyDescent="0.25">
      <c r="B5" s="17"/>
      <c r="E5" s="18"/>
      <c r="AA5" s="437"/>
      <c r="AB5" s="437"/>
      <c r="AC5" s="437"/>
    </row>
    <row r="6" spans="2:29" x14ac:dyDescent="0.25">
      <c r="B6" s="200" t="s">
        <v>1048</v>
      </c>
      <c r="C6" s="201"/>
      <c r="D6" s="201"/>
      <c r="E6" s="202"/>
      <c r="AA6" s="437" t="s">
        <v>1037</v>
      </c>
      <c r="AB6" s="437"/>
      <c r="AC6" s="437"/>
    </row>
    <row r="7" spans="2:29" x14ac:dyDescent="0.25">
      <c r="B7" s="17"/>
      <c r="D7" t="s">
        <v>1056</v>
      </c>
      <c r="E7" s="18"/>
      <c r="AA7" s="437" t="s">
        <v>1038</v>
      </c>
      <c r="AB7" s="437"/>
      <c r="AC7" s="437"/>
    </row>
    <row r="8" spans="2:29" ht="34.5" customHeight="1" x14ac:dyDescent="0.25">
      <c r="B8" s="17"/>
      <c r="C8" s="402" t="s">
        <v>1039</v>
      </c>
      <c r="D8" s="397"/>
      <c r="E8" s="18"/>
      <c r="AA8" s="437" t="s">
        <v>1040</v>
      </c>
      <c r="AB8" s="437" t="s">
        <v>1041</v>
      </c>
      <c r="AC8" s="437" t="s">
        <v>1042</v>
      </c>
    </row>
    <row r="9" spans="2:29" ht="174" customHeight="1" x14ac:dyDescent="0.25">
      <c r="B9" s="17"/>
      <c r="D9" s="401" t="str">
        <f>IF(E9="","",IF(E9="R",AA9,$AA$7))</f>
        <v/>
      </c>
      <c r="E9" s="400" t="str">
        <f>IF(D8="","",IFERROR(IF(SEARCH(AA8,D8)&gt;0,"R"),IFERROR(IF(SEARCH(AB8,D8)&gt;0,"R"),IFERROR(IF(SEARCH(AC8,D8)&gt;0,"R"),"F"))))</f>
        <v/>
      </c>
      <c r="AA9" s="454" t="s">
        <v>1096</v>
      </c>
      <c r="AB9" s="437"/>
      <c r="AC9" s="437"/>
    </row>
    <row r="10" spans="2:29" x14ac:dyDescent="0.25">
      <c r="B10" s="200" t="s">
        <v>1052</v>
      </c>
      <c r="C10" s="201"/>
      <c r="D10" s="201"/>
      <c r="E10" s="202"/>
      <c r="AA10" s="437"/>
      <c r="AB10" s="437"/>
      <c r="AC10" s="437"/>
    </row>
    <row r="11" spans="2:29" x14ac:dyDescent="0.25">
      <c r="B11" s="17"/>
      <c r="E11" s="18"/>
      <c r="AA11" s="437"/>
      <c r="AB11" s="437"/>
      <c r="AC11" s="437"/>
    </row>
    <row r="12" spans="2:29" ht="34.5" customHeight="1" x14ac:dyDescent="0.25">
      <c r="B12" s="17"/>
      <c r="C12" s="402" t="s">
        <v>1073</v>
      </c>
      <c r="D12" s="397"/>
      <c r="E12" s="18"/>
      <c r="AA12" s="437" t="s">
        <v>1043</v>
      </c>
      <c r="AB12" s="437" t="s">
        <v>786</v>
      </c>
      <c r="AC12" s="437" t="s">
        <v>1044</v>
      </c>
    </row>
    <row r="13" spans="2:29" ht="174" customHeight="1" x14ac:dyDescent="0.25">
      <c r="B13" s="19"/>
      <c r="C13" s="20"/>
      <c r="D13" s="407" t="str">
        <f>IF(E13="","",IF(E13="R",AA13,$AA$7))</f>
        <v/>
      </c>
      <c r="E13" s="400" t="str">
        <f>IF(D12="","",IFERROR(IF(SEARCH(AA12,D12)&gt;0,"R"),IFERROR(IF(SEARCH(AB12,D12)&gt;0,"R"),IFERROR(IF(SEARCH(AC12,D12)&gt;0,"R"),"F"))))</f>
        <v/>
      </c>
      <c r="AA13" s="454" t="s">
        <v>1075</v>
      </c>
      <c r="AB13" s="437"/>
      <c r="AC13" s="437"/>
    </row>
    <row r="14" spans="2:29" x14ac:dyDescent="0.25">
      <c r="B14" s="200" t="s">
        <v>1053</v>
      </c>
      <c r="E14" s="18"/>
      <c r="AA14" s="437"/>
      <c r="AB14" s="437"/>
      <c r="AC14" s="437"/>
    </row>
    <row r="15" spans="2:29" x14ac:dyDescent="0.25">
      <c r="B15" s="17"/>
      <c r="E15" s="18"/>
      <c r="AA15" s="437"/>
      <c r="AB15" s="437"/>
      <c r="AC15" s="437"/>
    </row>
    <row r="16" spans="2:29" ht="34.5" customHeight="1" x14ac:dyDescent="0.25">
      <c r="B16" s="17"/>
      <c r="C16" s="402" t="s">
        <v>1057</v>
      </c>
      <c r="D16" s="397"/>
      <c r="E16" s="18"/>
      <c r="AA16" s="437" t="s">
        <v>879</v>
      </c>
      <c r="AB16" s="437" t="s">
        <v>1045</v>
      </c>
      <c r="AC16" s="437" t="s">
        <v>1074</v>
      </c>
    </row>
    <row r="17" spans="2:29" ht="174" customHeight="1" x14ac:dyDescent="0.25">
      <c r="B17" s="19"/>
      <c r="C17" s="20"/>
      <c r="D17" s="407" t="str">
        <f>IF(E17="","",IF(E17="R",AA17,$AA$7))</f>
        <v/>
      </c>
      <c r="E17" s="400" t="str">
        <f>IF(D16="","",IFERROR(IF(SEARCH(AA16,D16)&gt;0,"R"),IFERROR(IF(SEARCH(AB16,D16)&gt;0,"R"),IFERROR(IF(SEARCH(AC16,D16)&gt;0,"R"),"F"))))</f>
        <v/>
      </c>
      <c r="AA17" s="454" t="s">
        <v>1076</v>
      </c>
      <c r="AB17" s="437"/>
      <c r="AC17" s="437"/>
    </row>
    <row r="18" spans="2:29" x14ac:dyDescent="0.25">
      <c r="B18" s="200" t="s">
        <v>1054</v>
      </c>
      <c r="E18" s="18"/>
      <c r="AA18" s="437"/>
      <c r="AB18" s="437"/>
      <c r="AC18" s="437"/>
    </row>
    <row r="19" spans="2:29" x14ac:dyDescent="0.25">
      <c r="B19" s="17"/>
      <c r="E19" s="18"/>
      <c r="AA19" s="437"/>
      <c r="AB19" s="437"/>
      <c r="AC19" s="437"/>
    </row>
    <row r="20" spans="2:29" ht="34.5" customHeight="1" x14ac:dyDescent="0.25">
      <c r="B20" s="17"/>
      <c r="C20" s="402" t="s">
        <v>1072</v>
      </c>
      <c r="D20" s="397"/>
      <c r="E20" s="18"/>
      <c r="AA20" s="437" t="s">
        <v>203</v>
      </c>
      <c r="AB20" s="437" t="s">
        <v>215</v>
      </c>
      <c r="AC20" s="437" t="s">
        <v>614</v>
      </c>
    </row>
    <row r="21" spans="2:29" ht="174" customHeight="1" x14ac:dyDescent="0.25">
      <c r="B21" s="19"/>
      <c r="C21" s="20"/>
      <c r="D21" s="407" t="str">
        <f>IF(E21="","",IF(E21="R",AA21,$AA$7))</f>
        <v/>
      </c>
      <c r="E21" s="400" t="str">
        <f>IF(D20="","",IFERROR(IF(SEARCH(AA20,D20)&gt;0,"R"),IFERROR(IF(SEARCH(AB20,D20)&gt;0,"R"),IFERROR(IF(SEARCH(AC20,D20)&gt;0,"R"),"F"))))</f>
        <v/>
      </c>
      <c r="AA21" s="454" t="s">
        <v>1050</v>
      </c>
      <c r="AB21" s="437"/>
      <c r="AC21" s="437"/>
    </row>
    <row r="22" spans="2:29" ht="14.25" customHeight="1" x14ac:dyDescent="0.25">
      <c r="B22" s="200" t="s">
        <v>1055</v>
      </c>
      <c r="D22" s="396"/>
      <c r="E22" s="405"/>
      <c r="AA22" s="454"/>
      <c r="AB22" s="437"/>
      <c r="AC22" s="437"/>
    </row>
    <row r="23" spans="2:29" x14ac:dyDescent="0.25">
      <c r="B23" s="17"/>
      <c r="E23" s="18"/>
      <c r="AA23" s="437"/>
      <c r="AB23" s="437"/>
      <c r="AC23" s="437"/>
    </row>
    <row r="24" spans="2:29" ht="34.5" customHeight="1" x14ac:dyDescent="0.25">
      <c r="B24" s="17"/>
      <c r="C24" s="402" t="s">
        <v>1058</v>
      </c>
      <c r="D24" s="397"/>
      <c r="E24" s="18"/>
      <c r="AA24" s="437" t="s">
        <v>1051</v>
      </c>
      <c r="AB24" s="437" t="s">
        <v>299</v>
      </c>
      <c r="AC24" s="437" t="s">
        <v>144</v>
      </c>
    </row>
    <row r="25" spans="2:29" ht="174" customHeight="1" x14ac:dyDescent="0.25">
      <c r="B25" s="19"/>
      <c r="C25" s="20"/>
      <c r="D25" s="406" t="str">
        <f>IF(E25="","",IF(E25="R",AA25,$AA$7))</f>
        <v/>
      </c>
      <c r="E25" s="400" t="str">
        <f>IF(D24="","",IFERROR(IF(SEARCH(AA24,D24)&gt;0,"R"),IFERROR(IF(SEARCH(AB24,D24)&gt;0,"R"),IFERROR(IF(SEARCH(AC24,D24)&gt;0,"R"),"F"))))</f>
        <v/>
      </c>
      <c r="AA25" s="454" t="s">
        <v>1059</v>
      </c>
      <c r="AB25" s="437"/>
      <c r="AC25" s="437"/>
    </row>
  </sheetData>
  <sheetProtection algorithmName="SHA-512" hashValue="5khHnUlmtn3qEcTmJwTWQ6XOPm1FXPKA71e4bF8q5wVNxT8q7ayUGCWj0fnkkqvNvrNL/aX3PN5jLLV3+haoOg==" saltValue="tTci0L0QA/BBczB6uO9eeQ==" spinCount="100000" sheet="1" objects="1" scenarios="1" formatColumns="0" formatRows="0"/>
  <conditionalFormatting sqref="C2 E2">
    <cfRule type="containsText" dxfId="239" priority="21" operator="containsText" text="R">
      <formula>NOT(ISERROR(SEARCH("R",C2)))</formula>
    </cfRule>
    <cfRule type="containsText" dxfId="238" priority="22" operator="containsText" text="F">
      <formula>NOT(ISERROR(SEARCH("F",C2)))</formula>
    </cfRule>
  </conditionalFormatting>
  <conditionalFormatting sqref="E9">
    <cfRule type="containsText" dxfId="237" priority="19" operator="containsText" text="R">
      <formula>NOT(ISERROR(SEARCH("R",E9)))</formula>
    </cfRule>
    <cfRule type="containsText" dxfId="236" priority="20" operator="containsText" text="F">
      <formula>NOT(ISERROR(SEARCH("F",E9)))</formula>
    </cfRule>
  </conditionalFormatting>
  <conditionalFormatting sqref="E13">
    <cfRule type="containsText" dxfId="235" priority="7" operator="containsText" text="R">
      <formula>NOT(ISERROR(SEARCH("R",E13)))</formula>
    </cfRule>
    <cfRule type="containsText" dxfId="234" priority="8" operator="containsText" text="F">
      <formula>NOT(ISERROR(SEARCH("F",E13)))</formula>
    </cfRule>
  </conditionalFormatting>
  <conditionalFormatting sqref="E17">
    <cfRule type="containsText" dxfId="233" priority="5" operator="containsText" text="R">
      <formula>NOT(ISERROR(SEARCH("R",E17)))</formula>
    </cfRule>
    <cfRule type="containsText" dxfId="232" priority="6" operator="containsText" text="F">
      <formula>NOT(ISERROR(SEARCH("F",E17)))</formula>
    </cfRule>
  </conditionalFormatting>
  <conditionalFormatting sqref="E21:E22">
    <cfRule type="containsText" dxfId="231" priority="3" operator="containsText" text="R">
      <formula>NOT(ISERROR(SEARCH("R",E21)))</formula>
    </cfRule>
    <cfRule type="containsText" dxfId="230" priority="4" operator="containsText" text="F">
      <formula>NOT(ISERROR(SEARCH("F",E21)))</formula>
    </cfRule>
  </conditionalFormatting>
  <conditionalFormatting sqref="E25">
    <cfRule type="containsText" dxfId="229" priority="1" operator="containsText" text="R">
      <formula>NOT(ISERROR(SEARCH("R",E25)))</formula>
    </cfRule>
    <cfRule type="containsText" dxfId="228" priority="2" operator="containsText" text="F">
      <formula>NOT(ISERROR(SEARCH("F",E25)))</formula>
    </cfRule>
  </conditionalFormatting>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B8FE5-DE93-41DA-89D2-5B40AFE6A1C9}">
  <sheetPr codeName="Sheet12"/>
  <dimension ref="AA1:AV500"/>
  <sheetViews>
    <sheetView workbookViewId="0"/>
  </sheetViews>
  <sheetFormatPr defaultRowHeight="15" x14ac:dyDescent="0.25"/>
  <sheetData>
    <row r="1" spans="27:48" x14ac:dyDescent="0.25">
      <c r="AA1" s="437"/>
      <c r="AB1" s="437"/>
      <c r="AC1" s="437"/>
      <c r="AD1" s="437"/>
      <c r="AE1" s="437"/>
      <c r="AF1" s="437"/>
      <c r="AG1" s="437"/>
      <c r="AH1" s="437"/>
      <c r="AI1" s="437"/>
      <c r="AJ1" s="437"/>
      <c r="AK1" s="437"/>
      <c r="AL1" s="437"/>
      <c r="AM1" s="437"/>
      <c r="AN1" s="437"/>
      <c r="AO1" s="437"/>
      <c r="AP1" s="437"/>
      <c r="AQ1" s="437"/>
      <c r="AR1" s="437"/>
      <c r="AS1" s="437"/>
      <c r="AT1" s="437"/>
      <c r="AU1" s="437"/>
      <c r="AV1" s="437"/>
    </row>
    <row r="2" spans="27:48" x14ac:dyDescent="0.25">
      <c r="AA2" s="437"/>
      <c r="AB2" s="437"/>
      <c r="AC2" s="437"/>
      <c r="AD2" s="437"/>
      <c r="AE2" s="437"/>
      <c r="AF2" s="437"/>
      <c r="AG2" s="437"/>
      <c r="AH2" s="437"/>
      <c r="AI2" s="437"/>
      <c r="AJ2" s="437"/>
      <c r="AK2" s="437"/>
      <c r="AL2" s="437"/>
      <c r="AM2" s="437"/>
      <c r="AN2" s="437"/>
      <c r="AO2" s="437"/>
      <c r="AP2" s="437"/>
      <c r="AQ2" s="437"/>
      <c r="AR2" s="437"/>
      <c r="AS2" s="437"/>
      <c r="AT2" s="437"/>
      <c r="AU2" s="437"/>
      <c r="AV2" s="437"/>
    </row>
    <row r="3" spans="27:48" x14ac:dyDescent="0.25">
      <c r="AA3" s="437"/>
      <c r="AB3" s="437"/>
      <c r="AC3" s="437"/>
      <c r="AD3" s="437"/>
      <c r="AE3" s="437"/>
      <c r="AF3" s="437"/>
      <c r="AG3" s="437"/>
      <c r="AH3" s="437"/>
      <c r="AI3" s="437"/>
      <c r="AJ3" s="437"/>
      <c r="AK3" s="437"/>
      <c r="AL3" s="437"/>
      <c r="AM3" s="437"/>
      <c r="AN3" s="437"/>
      <c r="AO3" s="437"/>
      <c r="AP3" s="437"/>
      <c r="AQ3" s="437"/>
      <c r="AR3" s="437"/>
      <c r="AS3" s="437"/>
      <c r="AT3" s="437"/>
      <c r="AU3" s="437"/>
      <c r="AV3" s="437"/>
    </row>
    <row r="4" spans="27:48" x14ac:dyDescent="0.25">
      <c r="AA4" s="437"/>
      <c r="AB4" s="437"/>
      <c r="AC4" s="437"/>
      <c r="AD4" s="437"/>
      <c r="AE4" s="437"/>
      <c r="AF4" s="437"/>
      <c r="AG4" s="437"/>
      <c r="AH4" s="437"/>
      <c r="AI4" s="437"/>
      <c r="AJ4" s="437"/>
      <c r="AK4" s="437"/>
      <c r="AL4" s="437"/>
      <c r="AM4" s="437"/>
      <c r="AN4" s="437"/>
      <c r="AO4" s="437"/>
      <c r="AP4" s="437"/>
      <c r="AQ4" s="437"/>
      <c r="AR4" s="437"/>
      <c r="AS4" s="437"/>
      <c r="AT4" s="437"/>
      <c r="AU4" s="437"/>
      <c r="AV4" s="437"/>
    </row>
    <row r="5" spans="27:48" x14ac:dyDescent="0.25">
      <c r="AA5" s="437"/>
      <c r="AB5" s="437"/>
      <c r="AC5" s="437"/>
      <c r="AD5" s="437"/>
      <c r="AE5" s="437"/>
      <c r="AF5" s="437"/>
      <c r="AG5" s="437"/>
      <c r="AH5" s="437"/>
      <c r="AI5" s="437"/>
      <c r="AJ5" s="437"/>
      <c r="AK5" s="437"/>
      <c r="AL5" s="437"/>
      <c r="AM5" s="437"/>
      <c r="AN5" s="437"/>
      <c r="AO5" s="437"/>
      <c r="AP5" s="437"/>
      <c r="AQ5" s="437"/>
      <c r="AR5" s="437"/>
      <c r="AS5" s="437"/>
      <c r="AT5" s="437"/>
      <c r="AU5" s="437"/>
      <c r="AV5" s="437"/>
    </row>
    <row r="6" spans="27:48" x14ac:dyDescent="0.25">
      <c r="AA6" s="437"/>
      <c r="AB6" s="437"/>
      <c r="AC6" s="437"/>
      <c r="AD6" s="437"/>
      <c r="AE6" s="437"/>
      <c r="AF6" s="437"/>
      <c r="AG6" s="437"/>
      <c r="AH6" s="437"/>
      <c r="AI6" s="437"/>
      <c r="AJ6" s="437"/>
      <c r="AK6" s="437"/>
      <c r="AL6" s="437"/>
      <c r="AM6" s="437"/>
      <c r="AN6" s="437"/>
      <c r="AO6" s="437"/>
      <c r="AP6" s="437"/>
      <c r="AQ6" s="437"/>
      <c r="AR6" s="437"/>
      <c r="AS6" s="437"/>
      <c r="AT6" s="437"/>
      <c r="AU6" s="437"/>
      <c r="AV6" s="437"/>
    </row>
    <row r="7" spans="27:48" x14ac:dyDescent="0.25">
      <c r="AA7" s="437"/>
      <c r="AB7" s="437"/>
      <c r="AC7" s="437"/>
      <c r="AD7" s="437"/>
      <c r="AE7" s="437"/>
      <c r="AF7" s="437"/>
      <c r="AG7" s="437"/>
      <c r="AH7" s="437"/>
      <c r="AI7" s="437"/>
      <c r="AJ7" s="437"/>
      <c r="AK7" s="437"/>
      <c r="AL7" s="437"/>
      <c r="AM7" s="437"/>
      <c r="AN7" s="437"/>
      <c r="AO7" s="437"/>
      <c r="AP7" s="437"/>
      <c r="AQ7" s="437"/>
      <c r="AR7" s="437"/>
      <c r="AS7" s="437"/>
      <c r="AT7" s="437"/>
      <c r="AU7" s="437"/>
      <c r="AV7" s="437"/>
    </row>
    <row r="8" spans="27:48" x14ac:dyDescent="0.25">
      <c r="AA8" s="437"/>
      <c r="AB8" s="437"/>
      <c r="AC8" s="437"/>
      <c r="AD8" s="437"/>
      <c r="AE8" s="437"/>
      <c r="AF8" s="437"/>
      <c r="AG8" s="437"/>
      <c r="AH8" s="437"/>
      <c r="AI8" s="437"/>
      <c r="AJ8" s="437"/>
      <c r="AK8" s="437"/>
      <c r="AL8" s="437"/>
      <c r="AM8" s="437"/>
      <c r="AN8" s="437"/>
      <c r="AO8" s="437"/>
      <c r="AP8" s="437"/>
      <c r="AQ8" s="437"/>
      <c r="AR8" s="437"/>
      <c r="AS8" s="437"/>
      <c r="AT8" s="437"/>
      <c r="AU8" s="437"/>
      <c r="AV8" s="437"/>
    </row>
    <row r="9" spans="27:48" x14ac:dyDescent="0.25">
      <c r="AA9" s="437"/>
      <c r="AB9" s="437"/>
      <c r="AC9" s="437"/>
      <c r="AD9" s="437"/>
      <c r="AE9" s="437"/>
      <c r="AF9" s="437"/>
      <c r="AG9" s="437"/>
      <c r="AH9" s="437"/>
      <c r="AI9" s="437"/>
      <c r="AJ9" s="437"/>
      <c r="AK9" s="437"/>
      <c r="AL9" s="437"/>
      <c r="AM9" s="437"/>
      <c r="AN9" s="437"/>
      <c r="AO9" s="437"/>
      <c r="AP9" s="437"/>
      <c r="AQ9" s="437"/>
      <c r="AR9" s="437"/>
      <c r="AS9" s="437"/>
      <c r="AT9" s="437"/>
      <c r="AU9" s="437"/>
      <c r="AV9" s="437"/>
    </row>
    <row r="10" spans="27:48" x14ac:dyDescent="0.25">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row>
    <row r="11" spans="27:48" x14ac:dyDescent="0.25">
      <c r="AA11" s="437"/>
      <c r="AB11" s="437"/>
      <c r="AC11" s="437"/>
      <c r="AD11" s="437"/>
      <c r="AE11" s="437"/>
      <c r="AF11" s="437"/>
      <c r="AG11" s="437"/>
      <c r="AH11" s="437"/>
      <c r="AI11" s="437"/>
      <c r="AJ11" s="437"/>
      <c r="AK11" s="437"/>
      <c r="AL11" s="437"/>
      <c r="AM11" s="437"/>
      <c r="AN11" s="437"/>
      <c r="AO11" s="437"/>
      <c r="AP11" s="437"/>
      <c r="AQ11" s="437"/>
      <c r="AR11" s="437"/>
      <c r="AS11" s="437"/>
      <c r="AT11" s="437"/>
      <c r="AU11" s="437"/>
      <c r="AV11" s="437"/>
    </row>
    <row r="12" spans="27:48" x14ac:dyDescent="0.25">
      <c r="AA12" s="437"/>
      <c r="AB12" s="437"/>
      <c r="AC12" s="437"/>
      <c r="AD12" s="437"/>
      <c r="AE12" s="437"/>
      <c r="AF12" s="437"/>
      <c r="AG12" s="437"/>
      <c r="AH12" s="437"/>
      <c r="AI12" s="437"/>
      <c r="AJ12" s="437"/>
      <c r="AK12" s="437"/>
      <c r="AL12" s="437"/>
      <c r="AM12" s="437"/>
      <c r="AN12" s="437"/>
      <c r="AO12" s="437"/>
      <c r="AP12" s="437"/>
      <c r="AQ12" s="437"/>
      <c r="AR12" s="437"/>
      <c r="AS12" s="437"/>
      <c r="AT12" s="437"/>
      <c r="AU12" s="437"/>
      <c r="AV12" s="437"/>
    </row>
    <row r="13" spans="27:48" x14ac:dyDescent="0.25">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row>
    <row r="14" spans="27:48" x14ac:dyDescent="0.25">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row>
    <row r="15" spans="27:48" x14ac:dyDescent="0.25">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row>
    <row r="16" spans="27:48" x14ac:dyDescent="0.25">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row>
    <row r="17" spans="27:48" x14ac:dyDescent="0.25">
      <c r="AA17" s="437"/>
      <c r="AB17" s="437"/>
      <c r="AC17" s="437"/>
      <c r="AD17" s="437"/>
      <c r="AE17" s="437"/>
      <c r="AF17" s="437"/>
      <c r="AG17" s="437"/>
      <c r="AH17" s="437"/>
      <c r="AI17" s="437"/>
      <c r="AJ17" s="437"/>
      <c r="AK17" s="437"/>
      <c r="AL17" s="437"/>
      <c r="AM17" s="437"/>
      <c r="AN17" s="437"/>
      <c r="AO17" s="437"/>
      <c r="AP17" s="437"/>
      <c r="AQ17" s="437"/>
      <c r="AR17" s="437"/>
      <c r="AS17" s="437"/>
      <c r="AT17" s="437"/>
      <c r="AU17" s="437"/>
      <c r="AV17" s="437"/>
    </row>
    <row r="18" spans="27:48" x14ac:dyDescent="0.25">
      <c r="AA18" s="437"/>
      <c r="AB18" s="437"/>
      <c r="AC18" s="437"/>
      <c r="AD18" s="437"/>
      <c r="AE18" s="437"/>
      <c r="AF18" s="437"/>
      <c r="AG18" s="437"/>
      <c r="AH18" s="437"/>
      <c r="AI18" s="437"/>
      <c r="AJ18" s="437"/>
      <c r="AK18" s="437"/>
      <c r="AL18" s="437"/>
      <c r="AM18" s="437"/>
      <c r="AN18" s="437"/>
      <c r="AO18" s="437"/>
      <c r="AP18" s="437"/>
      <c r="AQ18" s="437"/>
      <c r="AR18" s="437"/>
      <c r="AS18" s="437"/>
      <c r="AT18" s="437"/>
      <c r="AU18" s="437"/>
      <c r="AV18" s="437"/>
    </row>
    <row r="19" spans="27:48" x14ac:dyDescent="0.25">
      <c r="AA19" s="437"/>
      <c r="AB19" s="437"/>
      <c r="AC19" s="437"/>
      <c r="AD19" s="437"/>
      <c r="AE19" s="437"/>
      <c r="AF19" s="437"/>
      <c r="AG19" s="437"/>
      <c r="AH19" s="437"/>
      <c r="AI19" s="437"/>
      <c r="AJ19" s="437"/>
      <c r="AK19" s="437"/>
      <c r="AL19" s="437"/>
      <c r="AM19" s="437"/>
      <c r="AN19" s="437"/>
      <c r="AO19" s="437"/>
      <c r="AP19" s="437"/>
      <c r="AQ19" s="437"/>
      <c r="AR19" s="437"/>
      <c r="AS19" s="437"/>
      <c r="AT19" s="437"/>
      <c r="AU19" s="437"/>
      <c r="AV19" s="437"/>
    </row>
    <row r="20" spans="27:48" x14ac:dyDescent="0.25">
      <c r="AA20" s="437"/>
      <c r="AB20" s="437"/>
      <c r="AC20" s="437"/>
      <c r="AD20" s="437"/>
      <c r="AE20" s="437"/>
      <c r="AF20" s="437"/>
      <c r="AG20" s="437"/>
      <c r="AH20" s="437"/>
      <c r="AI20" s="437"/>
      <c r="AJ20" s="437"/>
      <c r="AK20" s="437"/>
      <c r="AL20" s="437"/>
      <c r="AM20" s="437"/>
      <c r="AN20" s="437"/>
      <c r="AO20" s="437"/>
      <c r="AP20" s="437"/>
      <c r="AQ20" s="437"/>
      <c r="AR20" s="437"/>
      <c r="AS20" s="437"/>
      <c r="AT20" s="437"/>
      <c r="AU20" s="437"/>
      <c r="AV20" s="437"/>
    </row>
    <row r="21" spans="27:48" x14ac:dyDescent="0.25">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row>
    <row r="22" spans="27:48" x14ac:dyDescent="0.25">
      <c r="AA22" s="437"/>
      <c r="AB22" s="437"/>
      <c r="AC22" s="437"/>
      <c r="AD22" s="437"/>
      <c r="AE22" s="437"/>
      <c r="AF22" s="437"/>
      <c r="AG22" s="437"/>
      <c r="AH22" s="437"/>
      <c r="AI22" s="437"/>
      <c r="AJ22" s="437"/>
      <c r="AK22" s="437"/>
      <c r="AL22" s="437"/>
      <c r="AM22" s="437"/>
      <c r="AN22" s="437"/>
      <c r="AO22" s="437"/>
      <c r="AP22" s="437"/>
      <c r="AQ22" s="437"/>
      <c r="AR22" s="437"/>
      <c r="AS22" s="437"/>
      <c r="AT22" s="437"/>
      <c r="AU22" s="437"/>
      <c r="AV22" s="437"/>
    </row>
    <row r="23" spans="27:48" x14ac:dyDescent="0.25">
      <c r="AA23" s="437"/>
      <c r="AB23" s="437"/>
      <c r="AC23" s="437"/>
      <c r="AD23" s="437"/>
      <c r="AE23" s="437"/>
      <c r="AF23" s="437"/>
      <c r="AG23" s="437"/>
      <c r="AH23" s="437"/>
      <c r="AI23" s="437"/>
      <c r="AJ23" s="437"/>
      <c r="AK23" s="437"/>
      <c r="AL23" s="437"/>
      <c r="AM23" s="437"/>
      <c r="AN23" s="437"/>
      <c r="AO23" s="437"/>
      <c r="AP23" s="437"/>
      <c r="AQ23" s="437"/>
      <c r="AR23" s="437"/>
      <c r="AS23" s="437"/>
      <c r="AT23" s="437"/>
      <c r="AU23" s="437"/>
      <c r="AV23" s="437"/>
    </row>
    <row r="24" spans="27:48" x14ac:dyDescent="0.25">
      <c r="AA24" s="437"/>
      <c r="AB24" s="437"/>
      <c r="AC24" s="437"/>
      <c r="AD24" s="437"/>
      <c r="AE24" s="437"/>
      <c r="AF24" s="437"/>
      <c r="AG24" s="437"/>
      <c r="AH24" s="437"/>
      <c r="AI24" s="437"/>
      <c r="AJ24" s="437"/>
      <c r="AK24" s="437"/>
      <c r="AL24" s="437"/>
      <c r="AM24" s="437"/>
      <c r="AN24" s="437"/>
      <c r="AO24" s="437"/>
      <c r="AP24" s="437"/>
      <c r="AQ24" s="437"/>
      <c r="AR24" s="437"/>
      <c r="AS24" s="437"/>
      <c r="AT24" s="437"/>
      <c r="AU24" s="437"/>
      <c r="AV24" s="437"/>
    </row>
    <row r="25" spans="27:48" x14ac:dyDescent="0.25">
      <c r="AA25" s="437"/>
      <c r="AB25" s="437"/>
      <c r="AC25" s="437"/>
      <c r="AD25" s="437"/>
      <c r="AE25" s="437"/>
      <c r="AF25" s="437"/>
      <c r="AG25" s="437"/>
      <c r="AH25" s="437"/>
      <c r="AI25" s="437"/>
      <c r="AJ25" s="437"/>
      <c r="AK25" s="437"/>
      <c r="AL25" s="437"/>
      <c r="AM25" s="437"/>
      <c r="AN25" s="437"/>
      <c r="AO25" s="437"/>
      <c r="AP25" s="437"/>
      <c r="AQ25" s="437"/>
      <c r="AR25" s="437"/>
      <c r="AS25" s="437"/>
      <c r="AT25" s="437"/>
      <c r="AU25" s="437"/>
      <c r="AV25" s="437"/>
    </row>
    <row r="26" spans="27:48" x14ac:dyDescent="0.25">
      <c r="AA26" s="437"/>
      <c r="AB26" s="437"/>
      <c r="AC26" s="437"/>
      <c r="AD26" s="437"/>
      <c r="AE26" s="437"/>
      <c r="AF26" s="437"/>
      <c r="AG26" s="437"/>
      <c r="AH26" s="437"/>
      <c r="AI26" s="437"/>
      <c r="AJ26" s="437"/>
      <c r="AK26" s="437"/>
      <c r="AL26" s="437"/>
      <c r="AM26" s="437"/>
      <c r="AN26" s="437"/>
      <c r="AO26" s="437"/>
      <c r="AP26" s="437"/>
      <c r="AQ26" s="437"/>
      <c r="AR26" s="437"/>
      <c r="AS26" s="437"/>
      <c r="AT26" s="437"/>
      <c r="AU26" s="437"/>
      <c r="AV26" s="437"/>
    </row>
    <row r="27" spans="27:48" x14ac:dyDescent="0.25">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row>
    <row r="28" spans="27:48" x14ac:dyDescent="0.25">
      <c r="AA28" s="437"/>
      <c r="AB28" s="437"/>
      <c r="AC28" s="437"/>
      <c r="AD28" s="437"/>
      <c r="AE28" s="437"/>
      <c r="AF28" s="437"/>
      <c r="AG28" s="437"/>
      <c r="AH28" s="437"/>
      <c r="AI28" s="437"/>
      <c r="AJ28" s="437"/>
      <c r="AK28" s="437"/>
      <c r="AL28" s="437"/>
      <c r="AM28" s="437"/>
      <c r="AN28" s="437"/>
      <c r="AO28" s="437"/>
      <c r="AP28" s="437"/>
      <c r="AQ28" s="437"/>
      <c r="AR28" s="437"/>
      <c r="AS28" s="437"/>
      <c r="AT28" s="437"/>
      <c r="AU28" s="437"/>
      <c r="AV28" s="437"/>
    </row>
    <row r="29" spans="27:48" x14ac:dyDescent="0.25">
      <c r="AA29" s="437"/>
      <c r="AB29" s="437"/>
      <c r="AC29" s="437"/>
      <c r="AD29" s="437"/>
      <c r="AE29" s="437"/>
      <c r="AF29" s="437"/>
      <c r="AG29" s="437"/>
      <c r="AH29" s="437"/>
      <c r="AI29" s="437"/>
      <c r="AJ29" s="437"/>
      <c r="AK29" s="437"/>
      <c r="AL29" s="437"/>
      <c r="AM29" s="437"/>
      <c r="AN29" s="437"/>
      <c r="AO29" s="437"/>
      <c r="AP29" s="437"/>
      <c r="AQ29" s="437"/>
      <c r="AR29" s="437"/>
      <c r="AS29" s="437"/>
      <c r="AT29" s="437"/>
      <c r="AU29" s="437"/>
      <c r="AV29" s="437"/>
    </row>
    <row r="30" spans="27:48" x14ac:dyDescent="0.25">
      <c r="AA30" s="437"/>
      <c r="AB30" s="437"/>
      <c r="AC30" s="437"/>
      <c r="AD30" s="437"/>
      <c r="AE30" s="437"/>
      <c r="AF30" s="437"/>
      <c r="AG30" s="437"/>
      <c r="AH30" s="437"/>
      <c r="AI30" s="437"/>
      <c r="AJ30" s="437"/>
      <c r="AK30" s="437"/>
      <c r="AL30" s="437"/>
      <c r="AM30" s="437"/>
      <c r="AN30" s="437"/>
      <c r="AO30" s="437"/>
      <c r="AP30" s="437"/>
      <c r="AQ30" s="437"/>
      <c r="AR30" s="437"/>
      <c r="AS30" s="437"/>
      <c r="AT30" s="437"/>
      <c r="AU30" s="437"/>
      <c r="AV30" s="437"/>
    </row>
    <row r="31" spans="27:48" x14ac:dyDescent="0.25">
      <c r="AA31" s="437"/>
      <c r="AB31" s="437"/>
      <c r="AC31" s="437"/>
      <c r="AD31" s="437"/>
      <c r="AE31" s="437"/>
      <c r="AF31" s="437"/>
      <c r="AG31" s="437"/>
      <c r="AH31" s="437"/>
      <c r="AI31" s="437"/>
      <c r="AJ31" s="437"/>
      <c r="AK31" s="437"/>
      <c r="AL31" s="437"/>
      <c r="AM31" s="437"/>
      <c r="AN31" s="437"/>
      <c r="AO31" s="437"/>
      <c r="AP31" s="437"/>
      <c r="AQ31" s="437"/>
      <c r="AR31" s="437"/>
      <c r="AS31" s="437"/>
      <c r="AT31" s="437"/>
      <c r="AU31" s="437"/>
      <c r="AV31" s="437"/>
    </row>
    <row r="32" spans="27:48" x14ac:dyDescent="0.25">
      <c r="AA32" s="437"/>
      <c r="AB32" s="437"/>
      <c r="AC32" s="437"/>
      <c r="AD32" s="437"/>
      <c r="AE32" s="437"/>
      <c r="AF32" s="437"/>
      <c r="AG32" s="437"/>
      <c r="AH32" s="437"/>
      <c r="AI32" s="437"/>
      <c r="AJ32" s="437"/>
      <c r="AK32" s="437"/>
      <c r="AL32" s="437"/>
      <c r="AM32" s="437"/>
      <c r="AN32" s="437"/>
      <c r="AO32" s="437"/>
      <c r="AP32" s="437"/>
      <c r="AQ32" s="437"/>
      <c r="AR32" s="437"/>
      <c r="AS32" s="437"/>
      <c r="AT32" s="437"/>
      <c r="AU32" s="437"/>
      <c r="AV32" s="437"/>
    </row>
    <row r="33" spans="27:48" x14ac:dyDescent="0.25">
      <c r="AA33" s="437"/>
      <c r="AB33" s="437"/>
      <c r="AC33" s="437"/>
      <c r="AD33" s="437"/>
      <c r="AE33" s="437"/>
      <c r="AF33" s="437"/>
      <c r="AG33" s="437"/>
      <c r="AH33" s="437"/>
      <c r="AI33" s="437"/>
      <c r="AJ33" s="437"/>
      <c r="AK33" s="437"/>
      <c r="AL33" s="437"/>
      <c r="AM33" s="437"/>
      <c r="AN33" s="437"/>
      <c r="AO33" s="437"/>
      <c r="AP33" s="437"/>
      <c r="AQ33" s="437"/>
      <c r="AR33" s="437"/>
      <c r="AS33" s="437"/>
      <c r="AT33" s="437"/>
      <c r="AU33" s="437"/>
      <c r="AV33" s="437"/>
    </row>
    <row r="34" spans="27:48" x14ac:dyDescent="0.25">
      <c r="AA34" s="437"/>
      <c r="AB34" s="437"/>
      <c r="AC34" s="437"/>
      <c r="AD34" s="437"/>
      <c r="AE34" s="437"/>
      <c r="AF34" s="437"/>
      <c r="AG34" s="437"/>
      <c r="AH34" s="437"/>
      <c r="AI34" s="437"/>
      <c r="AJ34" s="437"/>
      <c r="AK34" s="437"/>
      <c r="AL34" s="437"/>
      <c r="AM34" s="437"/>
      <c r="AN34" s="437"/>
      <c r="AO34" s="437"/>
      <c r="AP34" s="437"/>
      <c r="AQ34" s="437"/>
      <c r="AR34" s="437"/>
      <c r="AS34" s="437"/>
      <c r="AT34" s="437"/>
      <c r="AU34" s="437"/>
      <c r="AV34" s="437"/>
    </row>
    <row r="35" spans="27:48" x14ac:dyDescent="0.25">
      <c r="AA35" s="437"/>
      <c r="AB35" s="437"/>
      <c r="AC35" s="437"/>
      <c r="AD35" s="437"/>
      <c r="AE35" s="437"/>
      <c r="AF35" s="437"/>
      <c r="AG35" s="437"/>
      <c r="AH35" s="437"/>
      <c r="AI35" s="437"/>
      <c r="AJ35" s="437"/>
      <c r="AK35" s="437"/>
      <c r="AL35" s="437"/>
      <c r="AM35" s="437"/>
      <c r="AN35" s="437"/>
      <c r="AO35" s="437"/>
      <c r="AP35" s="437"/>
      <c r="AQ35" s="437"/>
      <c r="AR35" s="437"/>
      <c r="AS35" s="437"/>
      <c r="AT35" s="437"/>
      <c r="AU35" s="437"/>
      <c r="AV35" s="437"/>
    </row>
    <row r="36" spans="27:48" x14ac:dyDescent="0.25">
      <c r="AA36" s="437"/>
      <c r="AB36" s="437"/>
      <c r="AC36" s="437"/>
      <c r="AD36" s="437"/>
      <c r="AE36" s="437"/>
      <c r="AF36" s="437"/>
      <c r="AG36" s="437"/>
      <c r="AH36" s="437"/>
      <c r="AI36" s="437"/>
      <c r="AJ36" s="437"/>
      <c r="AK36" s="437"/>
      <c r="AL36" s="437"/>
      <c r="AM36" s="437"/>
      <c r="AN36" s="437"/>
      <c r="AO36" s="437"/>
      <c r="AP36" s="437"/>
      <c r="AQ36" s="437"/>
      <c r="AR36" s="437"/>
      <c r="AS36" s="437"/>
      <c r="AT36" s="437"/>
      <c r="AU36" s="437"/>
      <c r="AV36" s="437"/>
    </row>
    <row r="37" spans="27:48" x14ac:dyDescent="0.25">
      <c r="AA37" s="437"/>
      <c r="AB37" s="437"/>
      <c r="AC37" s="437"/>
      <c r="AD37" s="437"/>
      <c r="AE37" s="437"/>
      <c r="AF37" s="437"/>
      <c r="AG37" s="437"/>
      <c r="AH37" s="437"/>
      <c r="AI37" s="437"/>
      <c r="AJ37" s="437"/>
      <c r="AK37" s="437"/>
      <c r="AL37" s="437"/>
      <c r="AM37" s="437"/>
      <c r="AN37" s="437"/>
      <c r="AO37" s="437"/>
      <c r="AP37" s="437"/>
      <c r="AQ37" s="437"/>
      <c r="AR37" s="437"/>
      <c r="AS37" s="437"/>
      <c r="AT37" s="437"/>
      <c r="AU37" s="437"/>
      <c r="AV37" s="437"/>
    </row>
    <row r="38" spans="27:48" x14ac:dyDescent="0.25">
      <c r="AA38" s="437"/>
      <c r="AB38" s="437"/>
      <c r="AC38" s="437"/>
      <c r="AD38" s="437"/>
      <c r="AE38" s="437"/>
      <c r="AF38" s="437"/>
      <c r="AG38" s="437"/>
      <c r="AH38" s="437"/>
      <c r="AI38" s="437"/>
      <c r="AJ38" s="437"/>
      <c r="AK38" s="437"/>
      <c r="AL38" s="437"/>
      <c r="AM38" s="437"/>
      <c r="AN38" s="437"/>
      <c r="AO38" s="437"/>
      <c r="AP38" s="437"/>
      <c r="AQ38" s="437"/>
      <c r="AR38" s="437"/>
      <c r="AS38" s="437"/>
      <c r="AT38" s="437"/>
      <c r="AU38" s="437"/>
      <c r="AV38" s="437"/>
    </row>
    <row r="39" spans="27:48" x14ac:dyDescent="0.25">
      <c r="AA39" s="437"/>
      <c r="AB39" s="437"/>
      <c r="AC39" s="437"/>
      <c r="AD39" s="437"/>
      <c r="AE39" s="437"/>
      <c r="AF39" s="437"/>
      <c r="AG39" s="437"/>
      <c r="AH39" s="437"/>
      <c r="AI39" s="437"/>
      <c r="AJ39" s="437"/>
      <c r="AK39" s="437"/>
      <c r="AL39" s="437"/>
      <c r="AM39" s="437"/>
      <c r="AN39" s="437"/>
      <c r="AO39" s="437"/>
      <c r="AP39" s="437"/>
      <c r="AQ39" s="437"/>
      <c r="AR39" s="437"/>
      <c r="AS39" s="437"/>
      <c r="AT39" s="437"/>
      <c r="AU39" s="437"/>
      <c r="AV39" s="437"/>
    </row>
    <row r="40" spans="27:48" x14ac:dyDescent="0.25">
      <c r="AA40" s="437"/>
      <c r="AB40" s="437"/>
      <c r="AC40" s="437"/>
      <c r="AD40" s="437"/>
      <c r="AE40" s="437"/>
      <c r="AF40" s="437"/>
      <c r="AG40" s="437"/>
      <c r="AH40" s="437"/>
      <c r="AI40" s="437"/>
      <c r="AJ40" s="437"/>
      <c r="AK40" s="437"/>
      <c r="AL40" s="437"/>
      <c r="AM40" s="437"/>
      <c r="AN40" s="437"/>
      <c r="AO40" s="437"/>
      <c r="AP40" s="437"/>
      <c r="AQ40" s="437"/>
      <c r="AR40" s="437"/>
      <c r="AS40" s="437"/>
      <c r="AT40" s="437"/>
      <c r="AU40" s="437"/>
      <c r="AV40" s="437"/>
    </row>
    <row r="41" spans="27:48" x14ac:dyDescent="0.25">
      <c r="AA41" s="437"/>
      <c r="AB41" s="437"/>
      <c r="AC41" s="437"/>
      <c r="AD41" s="437"/>
      <c r="AE41" s="437"/>
      <c r="AF41" s="437"/>
      <c r="AG41" s="437"/>
      <c r="AH41" s="437"/>
      <c r="AI41" s="437"/>
      <c r="AJ41" s="437"/>
      <c r="AK41" s="437"/>
      <c r="AL41" s="437"/>
      <c r="AM41" s="437"/>
      <c r="AN41" s="437"/>
      <c r="AO41" s="437"/>
      <c r="AP41" s="437"/>
      <c r="AQ41" s="437"/>
      <c r="AR41" s="437"/>
      <c r="AS41" s="437"/>
      <c r="AT41" s="437"/>
      <c r="AU41" s="437"/>
      <c r="AV41" s="437"/>
    </row>
    <row r="42" spans="27:48" x14ac:dyDescent="0.25">
      <c r="AA42" s="437"/>
      <c r="AB42" s="437"/>
      <c r="AC42" s="437"/>
      <c r="AD42" s="437"/>
      <c r="AE42" s="437"/>
      <c r="AF42" s="437"/>
      <c r="AG42" s="437"/>
      <c r="AH42" s="437"/>
      <c r="AI42" s="437"/>
      <c r="AJ42" s="437"/>
      <c r="AK42" s="437"/>
      <c r="AL42" s="437"/>
      <c r="AM42" s="437"/>
      <c r="AN42" s="437"/>
      <c r="AO42" s="437"/>
      <c r="AP42" s="437"/>
      <c r="AQ42" s="437"/>
      <c r="AR42" s="437"/>
      <c r="AS42" s="437"/>
      <c r="AT42" s="437"/>
      <c r="AU42" s="437"/>
      <c r="AV42" s="437"/>
    </row>
    <row r="43" spans="27:48" x14ac:dyDescent="0.25">
      <c r="AA43" s="437"/>
      <c r="AB43" s="437"/>
      <c r="AC43" s="437"/>
      <c r="AD43" s="437"/>
      <c r="AE43" s="437"/>
      <c r="AF43" s="437"/>
      <c r="AG43" s="437"/>
      <c r="AH43" s="437"/>
      <c r="AI43" s="437"/>
      <c r="AJ43" s="437"/>
      <c r="AK43" s="437"/>
      <c r="AL43" s="437"/>
      <c r="AM43" s="437"/>
      <c r="AN43" s="437"/>
      <c r="AO43" s="437"/>
      <c r="AP43" s="437"/>
      <c r="AQ43" s="437"/>
      <c r="AR43" s="437"/>
      <c r="AS43" s="437"/>
      <c r="AT43" s="437"/>
      <c r="AU43" s="437"/>
      <c r="AV43" s="437"/>
    </row>
    <row r="44" spans="27:48" x14ac:dyDescent="0.25">
      <c r="AA44" s="437"/>
      <c r="AB44" s="437"/>
      <c r="AC44" s="437"/>
      <c r="AD44" s="437"/>
      <c r="AE44" s="437"/>
      <c r="AF44" s="437"/>
      <c r="AG44" s="437"/>
      <c r="AH44" s="437"/>
      <c r="AI44" s="437"/>
      <c r="AJ44" s="437"/>
      <c r="AK44" s="437"/>
      <c r="AL44" s="437"/>
      <c r="AM44" s="437"/>
      <c r="AN44" s="437"/>
      <c r="AO44" s="437"/>
      <c r="AP44" s="437"/>
      <c r="AQ44" s="437"/>
      <c r="AR44" s="437"/>
      <c r="AS44" s="437"/>
      <c r="AT44" s="437"/>
      <c r="AU44" s="437"/>
      <c r="AV44" s="437"/>
    </row>
    <row r="45" spans="27:48" x14ac:dyDescent="0.25">
      <c r="AA45" s="437"/>
      <c r="AB45" s="437"/>
      <c r="AC45" s="437"/>
      <c r="AD45" s="437"/>
      <c r="AE45" s="437"/>
      <c r="AF45" s="437"/>
      <c r="AG45" s="437"/>
      <c r="AH45" s="437"/>
      <c r="AI45" s="437"/>
      <c r="AJ45" s="437"/>
      <c r="AK45" s="437"/>
      <c r="AL45" s="437"/>
      <c r="AM45" s="437"/>
      <c r="AN45" s="437"/>
      <c r="AO45" s="437"/>
      <c r="AP45" s="437"/>
      <c r="AQ45" s="437"/>
      <c r="AR45" s="437"/>
      <c r="AS45" s="437"/>
      <c r="AT45" s="437"/>
      <c r="AU45" s="437"/>
      <c r="AV45" s="437"/>
    </row>
    <row r="46" spans="27:48" x14ac:dyDescent="0.25">
      <c r="AA46" s="437"/>
      <c r="AB46" s="437"/>
      <c r="AC46" s="437"/>
      <c r="AD46" s="437"/>
      <c r="AE46" s="437"/>
      <c r="AF46" s="437"/>
      <c r="AG46" s="437"/>
      <c r="AH46" s="437"/>
      <c r="AI46" s="437"/>
      <c r="AJ46" s="437"/>
      <c r="AK46" s="437"/>
      <c r="AL46" s="437"/>
      <c r="AM46" s="437"/>
      <c r="AN46" s="437"/>
      <c r="AO46" s="437"/>
      <c r="AP46" s="437"/>
      <c r="AQ46" s="437"/>
      <c r="AR46" s="437"/>
      <c r="AS46" s="437"/>
      <c r="AT46" s="437"/>
      <c r="AU46" s="437"/>
      <c r="AV46" s="437"/>
    </row>
    <row r="47" spans="27:48" x14ac:dyDescent="0.25">
      <c r="AA47" s="437"/>
      <c r="AB47" s="437"/>
      <c r="AC47" s="437"/>
      <c r="AD47" s="437"/>
      <c r="AE47" s="437"/>
      <c r="AF47" s="437"/>
      <c r="AG47" s="437"/>
      <c r="AH47" s="437"/>
      <c r="AI47" s="437"/>
      <c r="AJ47" s="437"/>
      <c r="AK47" s="437"/>
      <c r="AL47" s="437"/>
      <c r="AM47" s="437"/>
      <c r="AN47" s="437"/>
      <c r="AO47" s="437"/>
      <c r="AP47" s="437"/>
      <c r="AQ47" s="437"/>
      <c r="AR47" s="437"/>
      <c r="AS47" s="437"/>
      <c r="AT47" s="437"/>
      <c r="AU47" s="437"/>
      <c r="AV47" s="437"/>
    </row>
    <row r="48" spans="27:48" x14ac:dyDescent="0.25">
      <c r="AA48" s="437"/>
      <c r="AB48" s="437"/>
      <c r="AC48" s="437"/>
      <c r="AD48" s="437"/>
      <c r="AE48" s="437"/>
      <c r="AF48" s="437"/>
      <c r="AG48" s="437"/>
      <c r="AH48" s="437"/>
      <c r="AI48" s="437"/>
      <c r="AJ48" s="437"/>
      <c r="AK48" s="437"/>
      <c r="AL48" s="437"/>
      <c r="AM48" s="437"/>
      <c r="AN48" s="437"/>
      <c r="AO48" s="437"/>
      <c r="AP48" s="437"/>
      <c r="AQ48" s="437"/>
      <c r="AR48" s="437"/>
      <c r="AS48" s="437"/>
      <c r="AT48" s="437"/>
      <c r="AU48" s="437"/>
      <c r="AV48" s="437"/>
    </row>
    <row r="49" spans="27:48" x14ac:dyDescent="0.25">
      <c r="AA49" s="437"/>
      <c r="AB49" s="437"/>
      <c r="AC49" s="437"/>
      <c r="AD49" s="437"/>
      <c r="AE49" s="437"/>
      <c r="AF49" s="437"/>
      <c r="AG49" s="437"/>
      <c r="AH49" s="437"/>
      <c r="AI49" s="437"/>
      <c r="AJ49" s="437"/>
      <c r="AK49" s="437"/>
      <c r="AL49" s="437"/>
      <c r="AM49" s="437"/>
      <c r="AN49" s="437"/>
      <c r="AO49" s="437"/>
      <c r="AP49" s="437"/>
      <c r="AQ49" s="437"/>
      <c r="AR49" s="437"/>
      <c r="AS49" s="437"/>
      <c r="AT49" s="437"/>
      <c r="AU49" s="437"/>
      <c r="AV49" s="437"/>
    </row>
    <row r="50" spans="27:48" x14ac:dyDescent="0.25">
      <c r="AA50" s="437"/>
      <c r="AB50" s="437"/>
      <c r="AC50" s="437"/>
      <c r="AD50" s="437"/>
      <c r="AE50" s="437"/>
      <c r="AF50" s="437"/>
      <c r="AG50" s="437"/>
      <c r="AH50" s="437"/>
      <c r="AI50" s="437"/>
      <c r="AJ50" s="437"/>
      <c r="AK50" s="437"/>
      <c r="AL50" s="437"/>
      <c r="AM50" s="437"/>
      <c r="AN50" s="437"/>
      <c r="AO50" s="437"/>
      <c r="AP50" s="437"/>
      <c r="AQ50" s="437"/>
      <c r="AR50" s="437"/>
      <c r="AS50" s="437"/>
      <c r="AT50" s="437"/>
      <c r="AU50" s="437"/>
      <c r="AV50" s="437"/>
    </row>
    <row r="51" spans="27:48" x14ac:dyDescent="0.25">
      <c r="AA51" s="437"/>
      <c r="AB51" s="437"/>
      <c r="AC51" s="437"/>
      <c r="AD51" s="437"/>
      <c r="AE51" s="437"/>
      <c r="AF51" s="437"/>
      <c r="AG51" s="437"/>
      <c r="AH51" s="437"/>
      <c r="AI51" s="437"/>
      <c r="AJ51" s="437"/>
      <c r="AK51" s="437"/>
      <c r="AL51" s="437"/>
      <c r="AM51" s="437"/>
      <c r="AN51" s="437"/>
      <c r="AO51" s="437"/>
      <c r="AP51" s="437"/>
      <c r="AQ51" s="437"/>
      <c r="AR51" s="437"/>
      <c r="AS51" s="437"/>
      <c r="AT51" s="437"/>
      <c r="AU51" s="437"/>
      <c r="AV51" s="437"/>
    </row>
    <row r="52" spans="27:48" x14ac:dyDescent="0.25">
      <c r="AA52" s="437"/>
      <c r="AB52" s="437"/>
      <c r="AC52" s="437"/>
      <c r="AD52" s="437"/>
      <c r="AE52" s="437"/>
      <c r="AF52" s="437"/>
      <c r="AG52" s="437"/>
      <c r="AH52" s="437"/>
      <c r="AI52" s="437"/>
      <c r="AJ52" s="437"/>
      <c r="AK52" s="437"/>
      <c r="AL52" s="437"/>
      <c r="AM52" s="437"/>
      <c r="AN52" s="437"/>
      <c r="AO52" s="437"/>
      <c r="AP52" s="437"/>
      <c r="AQ52" s="437"/>
      <c r="AR52" s="437"/>
      <c r="AS52" s="437"/>
      <c r="AT52" s="437"/>
      <c r="AU52" s="437"/>
      <c r="AV52" s="437"/>
    </row>
    <row r="53" spans="27:48" x14ac:dyDescent="0.25">
      <c r="AA53" s="437"/>
      <c r="AB53" s="437"/>
      <c r="AC53" s="437"/>
      <c r="AD53" s="437"/>
      <c r="AE53" s="437"/>
      <c r="AF53" s="437"/>
      <c r="AG53" s="437"/>
      <c r="AH53" s="437"/>
      <c r="AI53" s="437"/>
      <c r="AJ53" s="437"/>
      <c r="AK53" s="437"/>
      <c r="AL53" s="437"/>
      <c r="AM53" s="437"/>
      <c r="AN53" s="437"/>
      <c r="AO53" s="437"/>
      <c r="AP53" s="437"/>
      <c r="AQ53" s="437"/>
      <c r="AR53" s="437"/>
      <c r="AS53" s="437"/>
      <c r="AT53" s="437"/>
      <c r="AU53" s="437"/>
      <c r="AV53" s="437"/>
    </row>
    <row r="54" spans="27:48" x14ac:dyDescent="0.25">
      <c r="AA54" s="437"/>
      <c r="AB54" s="437"/>
      <c r="AC54" s="437"/>
      <c r="AD54" s="437"/>
      <c r="AE54" s="437"/>
      <c r="AF54" s="437"/>
      <c r="AG54" s="437"/>
      <c r="AH54" s="437"/>
      <c r="AI54" s="437"/>
      <c r="AJ54" s="437"/>
      <c r="AK54" s="437"/>
      <c r="AL54" s="437"/>
      <c r="AM54" s="437"/>
      <c r="AN54" s="437"/>
      <c r="AO54" s="437"/>
      <c r="AP54" s="437"/>
      <c r="AQ54" s="437"/>
      <c r="AR54" s="437"/>
      <c r="AS54" s="437"/>
      <c r="AT54" s="437"/>
      <c r="AU54" s="437"/>
      <c r="AV54" s="437"/>
    </row>
    <row r="55" spans="27:48" x14ac:dyDescent="0.25">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row>
    <row r="56" spans="27:48" x14ac:dyDescent="0.25">
      <c r="AA56" s="437"/>
      <c r="AB56" s="437"/>
      <c r="AC56" s="437"/>
      <c r="AD56" s="437"/>
      <c r="AE56" s="437"/>
      <c r="AF56" s="437"/>
      <c r="AG56" s="437"/>
      <c r="AH56" s="437"/>
      <c r="AI56" s="437"/>
      <c r="AJ56" s="437"/>
      <c r="AK56" s="437"/>
      <c r="AL56" s="437"/>
      <c r="AM56" s="437"/>
      <c r="AN56" s="437"/>
      <c r="AO56" s="437"/>
      <c r="AP56" s="437"/>
      <c r="AQ56" s="437"/>
      <c r="AR56" s="437"/>
      <c r="AS56" s="437"/>
      <c r="AT56" s="437"/>
      <c r="AU56" s="437"/>
      <c r="AV56" s="437"/>
    </row>
    <row r="57" spans="27:48" x14ac:dyDescent="0.25">
      <c r="AA57" s="437"/>
      <c r="AB57" s="437"/>
      <c r="AC57" s="437"/>
      <c r="AD57" s="437"/>
      <c r="AE57" s="437"/>
      <c r="AF57" s="437"/>
      <c r="AG57" s="437"/>
      <c r="AH57" s="437"/>
      <c r="AI57" s="437"/>
      <c r="AJ57" s="437"/>
      <c r="AK57" s="437"/>
      <c r="AL57" s="437"/>
      <c r="AM57" s="437"/>
      <c r="AN57" s="437"/>
      <c r="AO57" s="437"/>
      <c r="AP57" s="437"/>
      <c r="AQ57" s="437"/>
      <c r="AR57" s="437"/>
      <c r="AS57" s="437"/>
      <c r="AT57" s="437"/>
      <c r="AU57" s="437"/>
      <c r="AV57" s="437"/>
    </row>
    <row r="58" spans="27:48" x14ac:dyDescent="0.25">
      <c r="AA58" s="437"/>
      <c r="AB58" s="437"/>
      <c r="AC58" s="437"/>
      <c r="AD58" s="437"/>
      <c r="AE58" s="437"/>
      <c r="AF58" s="437"/>
      <c r="AG58" s="437"/>
      <c r="AH58" s="437"/>
      <c r="AI58" s="437"/>
      <c r="AJ58" s="437"/>
      <c r="AK58" s="437"/>
      <c r="AL58" s="437"/>
      <c r="AM58" s="437"/>
      <c r="AN58" s="437"/>
      <c r="AO58" s="437"/>
      <c r="AP58" s="437"/>
      <c r="AQ58" s="437"/>
      <c r="AR58" s="437"/>
      <c r="AS58" s="437"/>
      <c r="AT58" s="437"/>
      <c r="AU58" s="437"/>
      <c r="AV58" s="437"/>
    </row>
    <row r="59" spans="27:48" x14ac:dyDescent="0.25">
      <c r="AA59" s="437"/>
      <c r="AB59" s="437"/>
      <c r="AC59" s="437"/>
      <c r="AD59" s="437"/>
      <c r="AE59" s="437"/>
      <c r="AF59" s="437"/>
      <c r="AG59" s="437"/>
      <c r="AH59" s="437"/>
      <c r="AI59" s="437"/>
      <c r="AJ59" s="437"/>
      <c r="AK59" s="437"/>
      <c r="AL59" s="437"/>
      <c r="AM59" s="437"/>
      <c r="AN59" s="437"/>
      <c r="AO59" s="437"/>
      <c r="AP59" s="437"/>
      <c r="AQ59" s="437"/>
      <c r="AR59" s="437"/>
      <c r="AS59" s="437"/>
      <c r="AT59" s="437"/>
      <c r="AU59" s="437"/>
      <c r="AV59" s="437"/>
    </row>
    <row r="60" spans="27:48" x14ac:dyDescent="0.25">
      <c r="AA60" s="437"/>
      <c r="AB60" s="437"/>
      <c r="AC60" s="437"/>
      <c r="AD60" s="437"/>
      <c r="AE60" s="437"/>
      <c r="AF60" s="437"/>
      <c r="AG60" s="437"/>
      <c r="AH60" s="437"/>
      <c r="AI60" s="437"/>
      <c r="AJ60" s="437"/>
      <c r="AK60" s="437"/>
      <c r="AL60" s="437"/>
      <c r="AM60" s="437"/>
      <c r="AN60" s="437"/>
      <c r="AO60" s="437"/>
      <c r="AP60" s="437"/>
      <c r="AQ60" s="437"/>
      <c r="AR60" s="437"/>
      <c r="AS60" s="437"/>
      <c r="AT60" s="437"/>
      <c r="AU60" s="437"/>
      <c r="AV60" s="437"/>
    </row>
    <row r="61" spans="27:48" x14ac:dyDescent="0.25">
      <c r="AA61" s="437"/>
      <c r="AB61" s="437"/>
      <c r="AC61" s="437"/>
      <c r="AD61" s="437"/>
      <c r="AE61" s="437"/>
      <c r="AF61" s="437"/>
      <c r="AG61" s="437"/>
      <c r="AH61" s="437"/>
      <c r="AI61" s="437"/>
      <c r="AJ61" s="437"/>
      <c r="AK61" s="437"/>
      <c r="AL61" s="437"/>
      <c r="AM61" s="437"/>
      <c r="AN61" s="437"/>
      <c r="AO61" s="437"/>
      <c r="AP61" s="437"/>
      <c r="AQ61" s="437"/>
      <c r="AR61" s="437"/>
      <c r="AS61" s="437"/>
      <c r="AT61" s="437"/>
      <c r="AU61" s="437"/>
      <c r="AV61" s="437"/>
    </row>
    <row r="62" spans="27:48" x14ac:dyDescent="0.25">
      <c r="AA62" s="437"/>
      <c r="AB62" s="437"/>
      <c r="AC62" s="437"/>
      <c r="AD62" s="437"/>
      <c r="AE62" s="437"/>
      <c r="AF62" s="437"/>
      <c r="AG62" s="437"/>
      <c r="AH62" s="437"/>
      <c r="AI62" s="437"/>
      <c r="AJ62" s="437"/>
      <c r="AK62" s="437"/>
      <c r="AL62" s="437"/>
      <c r="AM62" s="437"/>
      <c r="AN62" s="437"/>
      <c r="AO62" s="437"/>
      <c r="AP62" s="437"/>
      <c r="AQ62" s="437"/>
      <c r="AR62" s="437"/>
      <c r="AS62" s="437"/>
      <c r="AT62" s="437"/>
      <c r="AU62" s="437"/>
      <c r="AV62" s="437"/>
    </row>
    <row r="63" spans="27:48" x14ac:dyDescent="0.25">
      <c r="AA63" s="437"/>
      <c r="AB63" s="437"/>
      <c r="AC63" s="437"/>
      <c r="AD63" s="437"/>
      <c r="AE63" s="437"/>
      <c r="AF63" s="437"/>
      <c r="AG63" s="437"/>
      <c r="AH63" s="437"/>
      <c r="AI63" s="437"/>
      <c r="AJ63" s="437"/>
      <c r="AK63" s="437"/>
      <c r="AL63" s="437"/>
      <c r="AM63" s="437"/>
      <c r="AN63" s="437"/>
      <c r="AO63" s="437"/>
      <c r="AP63" s="437"/>
      <c r="AQ63" s="437"/>
      <c r="AR63" s="437"/>
      <c r="AS63" s="437"/>
      <c r="AT63" s="437"/>
      <c r="AU63" s="437"/>
      <c r="AV63" s="437"/>
    </row>
    <row r="64" spans="27:48" x14ac:dyDescent="0.25">
      <c r="AA64" s="437"/>
      <c r="AB64" s="437"/>
      <c r="AC64" s="437"/>
      <c r="AD64" s="437"/>
      <c r="AE64" s="437"/>
      <c r="AF64" s="437"/>
      <c r="AG64" s="437"/>
      <c r="AH64" s="437"/>
      <c r="AI64" s="437"/>
      <c r="AJ64" s="437"/>
      <c r="AK64" s="437"/>
      <c r="AL64" s="437"/>
      <c r="AM64" s="437"/>
      <c r="AN64" s="437"/>
      <c r="AO64" s="437"/>
      <c r="AP64" s="437"/>
      <c r="AQ64" s="437"/>
      <c r="AR64" s="437"/>
      <c r="AS64" s="437"/>
      <c r="AT64" s="437"/>
      <c r="AU64" s="437"/>
      <c r="AV64" s="437"/>
    </row>
    <row r="65" spans="27:48" x14ac:dyDescent="0.25">
      <c r="AA65" s="437"/>
      <c r="AB65" s="437"/>
      <c r="AC65" s="437"/>
      <c r="AD65" s="437"/>
      <c r="AE65" s="437"/>
      <c r="AF65" s="437"/>
      <c r="AG65" s="437"/>
      <c r="AH65" s="437"/>
      <c r="AI65" s="437"/>
      <c r="AJ65" s="437"/>
      <c r="AK65" s="437"/>
      <c r="AL65" s="437"/>
      <c r="AM65" s="437"/>
      <c r="AN65" s="437"/>
      <c r="AO65" s="437"/>
      <c r="AP65" s="437"/>
      <c r="AQ65" s="437"/>
      <c r="AR65" s="437"/>
      <c r="AS65" s="437"/>
      <c r="AT65" s="437"/>
      <c r="AU65" s="437"/>
      <c r="AV65" s="437"/>
    </row>
    <row r="66" spans="27:48" x14ac:dyDescent="0.25">
      <c r="AA66" s="437"/>
      <c r="AB66" s="437"/>
      <c r="AC66" s="437"/>
      <c r="AD66" s="437"/>
      <c r="AE66" s="437"/>
      <c r="AF66" s="437"/>
      <c r="AG66" s="437"/>
      <c r="AH66" s="437"/>
      <c r="AI66" s="437"/>
      <c r="AJ66" s="437"/>
      <c r="AK66" s="437"/>
      <c r="AL66" s="437"/>
      <c r="AM66" s="437"/>
      <c r="AN66" s="437"/>
      <c r="AO66" s="437"/>
      <c r="AP66" s="437"/>
      <c r="AQ66" s="437"/>
      <c r="AR66" s="437"/>
      <c r="AS66" s="437"/>
      <c r="AT66" s="437"/>
      <c r="AU66" s="437"/>
      <c r="AV66" s="437"/>
    </row>
    <row r="67" spans="27:48" x14ac:dyDescent="0.25">
      <c r="AA67" s="437"/>
      <c r="AB67" s="437"/>
      <c r="AC67" s="437"/>
      <c r="AD67" s="437"/>
      <c r="AE67" s="437"/>
      <c r="AF67" s="437"/>
      <c r="AG67" s="437"/>
      <c r="AH67" s="437"/>
      <c r="AI67" s="437"/>
      <c r="AJ67" s="437"/>
      <c r="AK67" s="437"/>
      <c r="AL67" s="437"/>
      <c r="AM67" s="437"/>
      <c r="AN67" s="437"/>
      <c r="AO67" s="437"/>
      <c r="AP67" s="437"/>
      <c r="AQ67" s="437"/>
      <c r="AR67" s="437"/>
      <c r="AS67" s="437"/>
      <c r="AT67" s="437"/>
      <c r="AU67" s="437"/>
      <c r="AV67" s="437"/>
    </row>
    <row r="68" spans="27:48" x14ac:dyDescent="0.25">
      <c r="AA68" s="437"/>
      <c r="AB68" s="437"/>
      <c r="AC68" s="437"/>
      <c r="AD68" s="437"/>
      <c r="AE68" s="437"/>
      <c r="AF68" s="437"/>
      <c r="AG68" s="437"/>
      <c r="AH68" s="437"/>
      <c r="AI68" s="437"/>
      <c r="AJ68" s="437"/>
      <c r="AK68" s="437"/>
      <c r="AL68" s="437"/>
      <c r="AM68" s="437"/>
      <c r="AN68" s="437"/>
      <c r="AO68" s="437"/>
      <c r="AP68" s="437"/>
      <c r="AQ68" s="437"/>
      <c r="AR68" s="437"/>
      <c r="AS68" s="437"/>
      <c r="AT68" s="437"/>
      <c r="AU68" s="437"/>
      <c r="AV68" s="437"/>
    </row>
    <row r="69" spans="27:48" x14ac:dyDescent="0.25">
      <c r="AA69" s="437"/>
      <c r="AB69" s="437"/>
      <c r="AC69" s="437"/>
      <c r="AD69" s="437"/>
      <c r="AE69" s="437"/>
      <c r="AF69" s="437"/>
      <c r="AG69" s="437"/>
      <c r="AH69" s="437"/>
      <c r="AI69" s="437"/>
      <c r="AJ69" s="437"/>
      <c r="AK69" s="437"/>
      <c r="AL69" s="437"/>
      <c r="AM69" s="437"/>
      <c r="AN69" s="437"/>
      <c r="AO69" s="437"/>
      <c r="AP69" s="437"/>
      <c r="AQ69" s="437"/>
      <c r="AR69" s="437"/>
      <c r="AS69" s="437"/>
      <c r="AT69" s="437"/>
      <c r="AU69" s="437"/>
      <c r="AV69" s="437"/>
    </row>
    <row r="70" spans="27:48" x14ac:dyDescent="0.25">
      <c r="AA70" s="437"/>
      <c r="AB70" s="437"/>
      <c r="AC70" s="437"/>
      <c r="AD70" s="437"/>
      <c r="AE70" s="437"/>
      <c r="AF70" s="437"/>
      <c r="AG70" s="437"/>
      <c r="AH70" s="437"/>
      <c r="AI70" s="437"/>
      <c r="AJ70" s="437"/>
      <c r="AK70" s="437"/>
      <c r="AL70" s="437"/>
      <c r="AM70" s="437"/>
      <c r="AN70" s="437"/>
      <c r="AO70" s="437"/>
      <c r="AP70" s="437"/>
      <c r="AQ70" s="437"/>
      <c r="AR70" s="437"/>
      <c r="AS70" s="437"/>
      <c r="AT70" s="437"/>
      <c r="AU70" s="437"/>
      <c r="AV70" s="437"/>
    </row>
    <row r="71" spans="27:48" x14ac:dyDescent="0.25">
      <c r="AA71" s="437"/>
      <c r="AB71" s="437"/>
      <c r="AC71" s="437"/>
      <c r="AD71" s="437"/>
      <c r="AE71" s="437"/>
      <c r="AF71" s="437"/>
      <c r="AG71" s="437"/>
      <c r="AH71" s="437"/>
      <c r="AI71" s="437"/>
      <c r="AJ71" s="437"/>
      <c r="AK71" s="437"/>
      <c r="AL71" s="437"/>
      <c r="AM71" s="437"/>
      <c r="AN71" s="437"/>
      <c r="AO71" s="437"/>
      <c r="AP71" s="437"/>
      <c r="AQ71" s="437"/>
      <c r="AR71" s="437"/>
      <c r="AS71" s="437"/>
      <c r="AT71" s="437"/>
      <c r="AU71" s="437"/>
      <c r="AV71" s="437"/>
    </row>
    <row r="72" spans="27:48" x14ac:dyDescent="0.25">
      <c r="AA72" s="437"/>
      <c r="AB72" s="437"/>
      <c r="AC72" s="437"/>
      <c r="AD72" s="437"/>
      <c r="AE72" s="437"/>
      <c r="AF72" s="437"/>
      <c r="AG72" s="437"/>
      <c r="AH72" s="437"/>
      <c r="AI72" s="437"/>
      <c r="AJ72" s="437"/>
      <c r="AK72" s="437"/>
      <c r="AL72" s="437"/>
      <c r="AM72" s="437"/>
      <c r="AN72" s="437"/>
      <c r="AO72" s="437"/>
      <c r="AP72" s="437"/>
      <c r="AQ72" s="437"/>
      <c r="AR72" s="437"/>
      <c r="AS72" s="437"/>
      <c r="AT72" s="437"/>
      <c r="AU72" s="437"/>
      <c r="AV72" s="437"/>
    </row>
    <row r="73" spans="27:48" x14ac:dyDescent="0.25">
      <c r="AA73" s="437"/>
      <c r="AB73" s="437"/>
      <c r="AC73" s="437"/>
      <c r="AD73" s="437"/>
      <c r="AE73" s="437"/>
      <c r="AF73" s="437"/>
      <c r="AG73" s="437"/>
      <c r="AH73" s="437"/>
      <c r="AI73" s="437"/>
      <c r="AJ73" s="437"/>
      <c r="AK73" s="437"/>
      <c r="AL73" s="437"/>
      <c r="AM73" s="437"/>
      <c r="AN73" s="437"/>
      <c r="AO73" s="437"/>
      <c r="AP73" s="437"/>
      <c r="AQ73" s="437"/>
      <c r="AR73" s="437"/>
      <c r="AS73" s="437"/>
      <c r="AT73" s="437"/>
      <c r="AU73" s="437"/>
      <c r="AV73" s="437"/>
    </row>
    <row r="74" spans="27:48" x14ac:dyDescent="0.25">
      <c r="AA74" s="437"/>
      <c r="AB74" s="437"/>
      <c r="AC74" s="437"/>
      <c r="AD74" s="437"/>
      <c r="AE74" s="437"/>
      <c r="AF74" s="437"/>
      <c r="AG74" s="437"/>
      <c r="AH74" s="437"/>
      <c r="AI74" s="437"/>
      <c r="AJ74" s="437"/>
      <c r="AK74" s="437"/>
      <c r="AL74" s="437"/>
      <c r="AM74" s="437"/>
      <c r="AN74" s="437"/>
      <c r="AO74" s="437"/>
      <c r="AP74" s="437"/>
      <c r="AQ74" s="437"/>
      <c r="AR74" s="437"/>
      <c r="AS74" s="437"/>
      <c r="AT74" s="437"/>
      <c r="AU74" s="437"/>
      <c r="AV74" s="437"/>
    </row>
    <row r="75" spans="27:48" x14ac:dyDescent="0.25">
      <c r="AA75" s="437"/>
      <c r="AB75" s="437"/>
      <c r="AC75" s="437"/>
      <c r="AD75" s="437"/>
      <c r="AE75" s="437"/>
      <c r="AF75" s="437"/>
      <c r="AG75" s="437"/>
      <c r="AH75" s="437"/>
      <c r="AI75" s="437"/>
      <c r="AJ75" s="437"/>
      <c r="AK75" s="437"/>
      <c r="AL75" s="437"/>
      <c r="AM75" s="437"/>
      <c r="AN75" s="437"/>
      <c r="AO75" s="437"/>
      <c r="AP75" s="437"/>
      <c r="AQ75" s="437"/>
      <c r="AR75" s="437"/>
      <c r="AS75" s="437"/>
      <c r="AT75" s="437"/>
      <c r="AU75" s="437"/>
      <c r="AV75" s="437"/>
    </row>
    <row r="76" spans="27:48" x14ac:dyDescent="0.25">
      <c r="AA76" s="437"/>
      <c r="AB76" s="437"/>
      <c r="AC76" s="437"/>
      <c r="AD76" s="437"/>
      <c r="AE76" s="437"/>
      <c r="AF76" s="437"/>
      <c r="AG76" s="437"/>
      <c r="AH76" s="437"/>
      <c r="AI76" s="437"/>
      <c r="AJ76" s="437"/>
      <c r="AK76" s="437"/>
      <c r="AL76" s="437"/>
      <c r="AM76" s="437"/>
      <c r="AN76" s="437"/>
      <c r="AO76" s="437"/>
      <c r="AP76" s="437"/>
      <c r="AQ76" s="437"/>
      <c r="AR76" s="437"/>
      <c r="AS76" s="437"/>
      <c r="AT76" s="437"/>
      <c r="AU76" s="437"/>
      <c r="AV76" s="437"/>
    </row>
    <row r="77" spans="27:48" x14ac:dyDescent="0.25">
      <c r="AA77" s="437"/>
      <c r="AB77" s="437"/>
      <c r="AC77" s="437"/>
      <c r="AD77" s="437"/>
      <c r="AE77" s="437"/>
      <c r="AF77" s="437"/>
      <c r="AG77" s="437"/>
      <c r="AH77" s="437"/>
      <c r="AI77" s="437"/>
      <c r="AJ77" s="437"/>
      <c r="AK77" s="437"/>
      <c r="AL77" s="437"/>
      <c r="AM77" s="437"/>
      <c r="AN77" s="437"/>
      <c r="AO77" s="437"/>
      <c r="AP77" s="437"/>
      <c r="AQ77" s="437"/>
      <c r="AR77" s="437"/>
      <c r="AS77" s="437"/>
      <c r="AT77" s="437"/>
      <c r="AU77" s="437"/>
      <c r="AV77" s="437"/>
    </row>
    <row r="78" spans="27:48" x14ac:dyDescent="0.25">
      <c r="AA78" s="437"/>
      <c r="AB78" s="437"/>
      <c r="AC78" s="437"/>
      <c r="AD78" s="437"/>
      <c r="AE78" s="437"/>
      <c r="AF78" s="437"/>
      <c r="AG78" s="437"/>
      <c r="AH78" s="437"/>
      <c r="AI78" s="437"/>
      <c r="AJ78" s="437"/>
      <c r="AK78" s="437"/>
      <c r="AL78" s="437"/>
      <c r="AM78" s="437"/>
      <c r="AN78" s="437"/>
      <c r="AO78" s="437"/>
      <c r="AP78" s="437"/>
      <c r="AQ78" s="437"/>
      <c r="AR78" s="437"/>
      <c r="AS78" s="437"/>
      <c r="AT78" s="437"/>
      <c r="AU78" s="437"/>
      <c r="AV78" s="437"/>
    </row>
    <row r="79" spans="27:48" x14ac:dyDescent="0.25">
      <c r="AA79" s="437"/>
      <c r="AB79" s="437"/>
      <c r="AC79" s="437"/>
      <c r="AD79" s="437"/>
      <c r="AE79" s="437"/>
      <c r="AF79" s="437"/>
      <c r="AG79" s="437"/>
      <c r="AH79" s="437"/>
      <c r="AI79" s="437"/>
      <c r="AJ79" s="437"/>
      <c r="AK79" s="437"/>
      <c r="AL79" s="437"/>
      <c r="AM79" s="437"/>
      <c r="AN79" s="437"/>
      <c r="AO79" s="437"/>
      <c r="AP79" s="437"/>
      <c r="AQ79" s="437"/>
      <c r="AR79" s="437"/>
      <c r="AS79" s="437"/>
      <c r="AT79" s="437"/>
      <c r="AU79" s="437"/>
      <c r="AV79" s="437"/>
    </row>
    <row r="80" spans="27:48" x14ac:dyDescent="0.25">
      <c r="AA80" s="437"/>
      <c r="AB80" s="437"/>
      <c r="AC80" s="437"/>
      <c r="AD80" s="437"/>
      <c r="AE80" s="437"/>
      <c r="AF80" s="437"/>
      <c r="AG80" s="437"/>
      <c r="AH80" s="437"/>
      <c r="AI80" s="437"/>
      <c r="AJ80" s="437"/>
      <c r="AK80" s="437"/>
      <c r="AL80" s="437"/>
      <c r="AM80" s="437"/>
      <c r="AN80" s="437"/>
      <c r="AO80" s="437"/>
      <c r="AP80" s="437"/>
      <c r="AQ80" s="437"/>
      <c r="AR80" s="437"/>
      <c r="AS80" s="437"/>
      <c r="AT80" s="437"/>
      <c r="AU80" s="437"/>
      <c r="AV80" s="437"/>
    </row>
    <row r="81" spans="27:48" x14ac:dyDescent="0.25">
      <c r="AA81" s="437"/>
      <c r="AB81" s="437"/>
      <c r="AC81" s="437"/>
      <c r="AD81" s="437"/>
      <c r="AE81" s="437"/>
      <c r="AF81" s="437"/>
      <c r="AG81" s="437"/>
      <c r="AH81" s="437"/>
      <c r="AI81" s="437"/>
      <c r="AJ81" s="437"/>
      <c r="AK81" s="437"/>
      <c r="AL81" s="437"/>
      <c r="AM81" s="437"/>
      <c r="AN81" s="437"/>
      <c r="AO81" s="437"/>
      <c r="AP81" s="437"/>
      <c r="AQ81" s="437"/>
      <c r="AR81" s="437"/>
      <c r="AS81" s="437"/>
      <c r="AT81" s="437"/>
      <c r="AU81" s="437"/>
      <c r="AV81" s="437"/>
    </row>
    <row r="82" spans="27:48" x14ac:dyDescent="0.25">
      <c r="AA82" s="437"/>
      <c r="AB82" s="437"/>
      <c r="AC82" s="437"/>
      <c r="AD82" s="437"/>
      <c r="AE82" s="437"/>
      <c r="AF82" s="437"/>
      <c r="AG82" s="437"/>
      <c r="AH82" s="437"/>
      <c r="AI82" s="437"/>
      <c r="AJ82" s="437"/>
      <c r="AK82" s="437"/>
      <c r="AL82" s="437"/>
      <c r="AM82" s="437"/>
      <c r="AN82" s="437"/>
      <c r="AO82" s="437"/>
      <c r="AP82" s="437"/>
      <c r="AQ82" s="437"/>
      <c r="AR82" s="437"/>
      <c r="AS82" s="437"/>
      <c r="AT82" s="437"/>
      <c r="AU82" s="437"/>
      <c r="AV82" s="437"/>
    </row>
    <row r="83" spans="27:48" x14ac:dyDescent="0.25">
      <c r="AA83" s="437"/>
      <c r="AB83" s="437"/>
      <c r="AC83" s="437"/>
      <c r="AD83" s="437"/>
      <c r="AE83" s="437"/>
      <c r="AF83" s="437"/>
      <c r="AG83" s="437"/>
      <c r="AH83" s="437"/>
      <c r="AI83" s="437"/>
      <c r="AJ83" s="437"/>
      <c r="AK83" s="437"/>
      <c r="AL83" s="437"/>
      <c r="AM83" s="437"/>
      <c r="AN83" s="437"/>
      <c r="AO83" s="437"/>
      <c r="AP83" s="437"/>
      <c r="AQ83" s="437"/>
      <c r="AR83" s="437"/>
      <c r="AS83" s="437"/>
      <c r="AT83" s="437"/>
      <c r="AU83" s="437"/>
      <c r="AV83" s="437"/>
    </row>
    <row r="84" spans="27:48" x14ac:dyDescent="0.25">
      <c r="AA84" s="437"/>
      <c r="AB84" s="437"/>
      <c r="AC84" s="437"/>
      <c r="AD84" s="437"/>
      <c r="AE84" s="437"/>
      <c r="AF84" s="437"/>
      <c r="AG84" s="437"/>
      <c r="AH84" s="437"/>
      <c r="AI84" s="437"/>
      <c r="AJ84" s="437"/>
      <c r="AK84" s="437"/>
      <c r="AL84" s="437"/>
      <c r="AM84" s="437"/>
      <c r="AN84" s="437"/>
      <c r="AO84" s="437"/>
      <c r="AP84" s="437"/>
      <c r="AQ84" s="437"/>
      <c r="AR84" s="437"/>
      <c r="AS84" s="437"/>
      <c r="AT84" s="437"/>
      <c r="AU84" s="437"/>
      <c r="AV84" s="437"/>
    </row>
    <row r="85" spans="27:48" x14ac:dyDescent="0.25">
      <c r="AA85" s="437"/>
      <c r="AB85" s="437"/>
      <c r="AC85" s="437"/>
      <c r="AD85" s="437"/>
      <c r="AE85" s="437"/>
      <c r="AF85" s="437"/>
      <c r="AG85" s="437"/>
      <c r="AH85" s="437"/>
      <c r="AI85" s="437"/>
      <c r="AJ85" s="437"/>
      <c r="AK85" s="437"/>
      <c r="AL85" s="437"/>
      <c r="AM85" s="437"/>
      <c r="AN85" s="437"/>
      <c r="AO85" s="437"/>
      <c r="AP85" s="437"/>
      <c r="AQ85" s="437"/>
      <c r="AR85" s="437"/>
      <c r="AS85" s="437"/>
      <c r="AT85" s="437"/>
      <c r="AU85" s="437"/>
      <c r="AV85" s="437"/>
    </row>
    <row r="86" spans="27:48" x14ac:dyDescent="0.25">
      <c r="AA86" s="437"/>
      <c r="AB86" s="437"/>
      <c r="AC86" s="437"/>
      <c r="AD86" s="437"/>
      <c r="AE86" s="437"/>
      <c r="AF86" s="437"/>
      <c r="AG86" s="437"/>
      <c r="AH86" s="437"/>
      <c r="AI86" s="437"/>
      <c r="AJ86" s="437"/>
      <c r="AK86" s="437"/>
      <c r="AL86" s="437"/>
      <c r="AM86" s="437"/>
      <c r="AN86" s="437"/>
      <c r="AO86" s="437"/>
      <c r="AP86" s="437"/>
      <c r="AQ86" s="437"/>
      <c r="AR86" s="437"/>
      <c r="AS86" s="437"/>
      <c r="AT86" s="437"/>
      <c r="AU86" s="437"/>
      <c r="AV86" s="437"/>
    </row>
    <row r="87" spans="27:48" x14ac:dyDescent="0.25">
      <c r="AA87" s="437"/>
      <c r="AB87" s="437"/>
      <c r="AC87" s="437"/>
      <c r="AD87" s="437"/>
      <c r="AE87" s="437"/>
      <c r="AF87" s="437"/>
      <c r="AG87" s="437"/>
      <c r="AH87" s="437"/>
      <c r="AI87" s="437"/>
      <c r="AJ87" s="437"/>
      <c r="AK87" s="437"/>
      <c r="AL87" s="437"/>
      <c r="AM87" s="437"/>
      <c r="AN87" s="437"/>
      <c r="AO87" s="437"/>
      <c r="AP87" s="437"/>
      <c r="AQ87" s="437"/>
      <c r="AR87" s="437"/>
      <c r="AS87" s="437"/>
      <c r="AT87" s="437"/>
      <c r="AU87" s="437"/>
      <c r="AV87" s="437"/>
    </row>
    <row r="88" spans="27:48" x14ac:dyDescent="0.25">
      <c r="AA88" s="437"/>
      <c r="AB88" s="437"/>
      <c r="AC88" s="437"/>
      <c r="AD88" s="437"/>
      <c r="AE88" s="437"/>
      <c r="AF88" s="437"/>
      <c r="AG88" s="437"/>
      <c r="AH88" s="437"/>
      <c r="AI88" s="437"/>
      <c r="AJ88" s="437"/>
      <c r="AK88" s="437"/>
      <c r="AL88" s="437"/>
      <c r="AM88" s="437"/>
      <c r="AN88" s="437"/>
      <c r="AO88" s="437"/>
      <c r="AP88" s="437"/>
      <c r="AQ88" s="437"/>
      <c r="AR88" s="437"/>
      <c r="AS88" s="437"/>
      <c r="AT88" s="437"/>
      <c r="AU88" s="437"/>
      <c r="AV88" s="437"/>
    </row>
    <row r="89" spans="27:48" x14ac:dyDescent="0.25">
      <c r="AA89" s="437"/>
      <c r="AB89" s="437"/>
      <c r="AC89" s="437"/>
      <c r="AD89" s="437"/>
      <c r="AE89" s="437"/>
      <c r="AF89" s="437"/>
      <c r="AG89" s="437"/>
      <c r="AH89" s="437"/>
      <c r="AI89" s="437"/>
      <c r="AJ89" s="437"/>
      <c r="AK89" s="437"/>
      <c r="AL89" s="437"/>
      <c r="AM89" s="437"/>
      <c r="AN89" s="437"/>
      <c r="AO89" s="437"/>
      <c r="AP89" s="437"/>
      <c r="AQ89" s="437"/>
      <c r="AR89" s="437"/>
      <c r="AS89" s="437"/>
      <c r="AT89" s="437"/>
      <c r="AU89" s="437"/>
      <c r="AV89" s="437"/>
    </row>
    <row r="90" spans="27:48" x14ac:dyDescent="0.25">
      <c r="AA90" s="437"/>
      <c r="AB90" s="437"/>
      <c r="AC90" s="437"/>
      <c r="AD90" s="437"/>
      <c r="AE90" s="437"/>
      <c r="AF90" s="437"/>
      <c r="AG90" s="437"/>
      <c r="AH90" s="437"/>
      <c r="AI90" s="437"/>
      <c r="AJ90" s="437"/>
      <c r="AK90" s="437"/>
      <c r="AL90" s="437"/>
      <c r="AM90" s="437"/>
      <c r="AN90" s="437"/>
      <c r="AO90" s="437"/>
      <c r="AP90" s="437"/>
      <c r="AQ90" s="437"/>
      <c r="AR90" s="437"/>
      <c r="AS90" s="437"/>
      <c r="AT90" s="437"/>
      <c r="AU90" s="437"/>
      <c r="AV90" s="437"/>
    </row>
    <row r="91" spans="27:48" x14ac:dyDescent="0.25">
      <c r="AA91" s="437"/>
      <c r="AB91" s="437"/>
      <c r="AC91" s="437"/>
      <c r="AD91" s="437"/>
      <c r="AE91" s="437"/>
      <c r="AF91" s="437"/>
      <c r="AG91" s="437"/>
      <c r="AH91" s="437"/>
      <c r="AI91" s="437"/>
      <c r="AJ91" s="437"/>
      <c r="AK91" s="437"/>
      <c r="AL91" s="437"/>
      <c r="AM91" s="437"/>
      <c r="AN91" s="437"/>
      <c r="AO91" s="437"/>
      <c r="AP91" s="437"/>
      <c r="AQ91" s="437"/>
      <c r="AR91" s="437"/>
      <c r="AS91" s="437"/>
      <c r="AT91" s="437"/>
      <c r="AU91" s="437"/>
      <c r="AV91" s="437"/>
    </row>
    <row r="92" spans="27:48" x14ac:dyDescent="0.25">
      <c r="AA92" s="437"/>
      <c r="AB92" s="437"/>
      <c r="AC92" s="437"/>
      <c r="AD92" s="437"/>
      <c r="AE92" s="437"/>
      <c r="AF92" s="437"/>
      <c r="AG92" s="437"/>
      <c r="AH92" s="437"/>
      <c r="AI92" s="437"/>
      <c r="AJ92" s="437"/>
      <c r="AK92" s="437"/>
      <c r="AL92" s="437"/>
      <c r="AM92" s="437"/>
      <c r="AN92" s="437"/>
      <c r="AO92" s="437"/>
      <c r="AP92" s="437"/>
      <c r="AQ92" s="437"/>
      <c r="AR92" s="437"/>
      <c r="AS92" s="437"/>
      <c r="AT92" s="437"/>
      <c r="AU92" s="437"/>
      <c r="AV92" s="437"/>
    </row>
    <row r="93" spans="27:48" x14ac:dyDescent="0.25">
      <c r="AA93" s="437"/>
      <c r="AB93" s="437"/>
      <c r="AC93" s="437"/>
      <c r="AD93" s="437"/>
      <c r="AE93" s="437"/>
      <c r="AF93" s="437"/>
      <c r="AG93" s="437"/>
      <c r="AH93" s="437"/>
      <c r="AI93" s="437"/>
      <c r="AJ93" s="437"/>
      <c r="AK93" s="437"/>
      <c r="AL93" s="437"/>
      <c r="AM93" s="437"/>
      <c r="AN93" s="437"/>
      <c r="AO93" s="437"/>
      <c r="AP93" s="437"/>
      <c r="AQ93" s="437"/>
      <c r="AR93" s="437"/>
      <c r="AS93" s="437"/>
      <c r="AT93" s="437"/>
      <c r="AU93" s="437"/>
      <c r="AV93" s="437"/>
    </row>
    <row r="94" spans="27:48" x14ac:dyDescent="0.25">
      <c r="AA94" s="437"/>
      <c r="AB94" s="437"/>
      <c r="AC94" s="437"/>
      <c r="AD94" s="437"/>
      <c r="AE94" s="437"/>
      <c r="AF94" s="437"/>
      <c r="AG94" s="437"/>
      <c r="AH94" s="437"/>
      <c r="AI94" s="437"/>
      <c r="AJ94" s="437"/>
      <c r="AK94" s="437"/>
      <c r="AL94" s="437"/>
      <c r="AM94" s="437"/>
      <c r="AN94" s="437"/>
      <c r="AO94" s="437"/>
      <c r="AP94" s="437"/>
      <c r="AQ94" s="437"/>
      <c r="AR94" s="437"/>
      <c r="AS94" s="437"/>
      <c r="AT94" s="437"/>
      <c r="AU94" s="437"/>
      <c r="AV94" s="437"/>
    </row>
    <row r="95" spans="27:48" x14ac:dyDescent="0.25">
      <c r="AA95" s="437"/>
      <c r="AB95" s="437"/>
      <c r="AC95" s="437"/>
      <c r="AD95" s="437"/>
      <c r="AE95" s="437"/>
      <c r="AF95" s="437"/>
      <c r="AG95" s="437"/>
      <c r="AH95" s="437"/>
      <c r="AI95" s="437"/>
      <c r="AJ95" s="437"/>
      <c r="AK95" s="437"/>
      <c r="AL95" s="437"/>
      <c r="AM95" s="437"/>
      <c r="AN95" s="437"/>
      <c r="AO95" s="437"/>
      <c r="AP95" s="437"/>
      <c r="AQ95" s="437"/>
      <c r="AR95" s="437"/>
      <c r="AS95" s="437"/>
      <c r="AT95" s="437"/>
      <c r="AU95" s="437"/>
      <c r="AV95" s="437"/>
    </row>
    <row r="96" spans="27:48" x14ac:dyDescent="0.25">
      <c r="AA96" s="437"/>
      <c r="AB96" s="437"/>
      <c r="AC96" s="437"/>
      <c r="AD96" s="437"/>
      <c r="AE96" s="437"/>
      <c r="AF96" s="437"/>
      <c r="AG96" s="437"/>
      <c r="AH96" s="437"/>
      <c r="AI96" s="437"/>
      <c r="AJ96" s="437"/>
      <c r="AK96" s="437"/>
      <c r="AL96" s="437"/>
      <c r="AM96" s="437"/>
      <c r="AN96" s="437"/>
      <c r="AO96" s="437"/>
      <c r="AP96" s="437"/>
      <c r="AQ96" s="437"/>
      <c r="AR96" s="437"/>
      <c r="AS96" s="437"/>
      <c r="AT96" s="437"/>
      <c r="AU96" s="437"/>
      <c r="AV96" s="437"/>
    </row>
    <row r="97" spans="27:48" x14ac:dyDescent="0.25">
      <c r="AA97" s="437"/>
      <c r="AB97" s="437"/>
      <c r="AC97" s="437"/>
      <c r="AD97" s="437"/>
      <c r="AE97" s="437"/>
      <c r="AF97" s="437"/>
      <c r="AG97" s="437"/>
      <c r="AH97" s="437"/>
      <c r="AI97" s="437"/>
      <c r="AJ97" s="437"/>
      <c r="AK97" s="437"/>
      <c r="AL97" s="437"/>
      <c r="AM97" s="437"/>
      <c r="AN97" s="437"/>
      <c r="AO97" s="437"/>
      <c r="AP97" s="437"/>
      <c r="AQ97" s="437"/>
      <c r="AR97" s="437"/>
      <c r="AS97" s="437"/>
      <c r="AT97" s="437"/>
      <c r="AU97" s="437"/>
      <c r="AV97" s="437"/>
    </row>
    <row r="98" spans="27:48" x14ac:dyDescent="0.25">
      <c r="AA98" s="437"/>
      <c r="AB98" s="437"/>
      <c r="AC98" s="437"/>
      <c r="AD98" s="437"/>
      <c r="AE98" s="437"/>
      <c r="AF98" s="437"/>
      <c r="AG98" s="437"/>
      <c r="AH98" s="437"/>
      <c r="AI98" s="437"/>
      <c r="AJ98" s="437"/>
      <c r="AK98" s="437"/>
      <c r="AL98" s="437"/>
      <c r="AM98" s="437"/>
      <c r="AN98" s="437"/>
      <c r="AO98" s="437"/>
      <c r="AP98" s="437"/>
      <c r="AQ98" s="437"/>
      <c r="AR98" s="437"/>
      <c r="AS98" s="437"/>
      <c r="AT98" s="437"/>
      <c r="AU98" s="437"/>
      <c r="AV98" s="437"/>
    </row>
    <row r="99" spans="27:48" x14ac:dyDescent="0.25">
      <c r="AA99" s="437"/>
      <c r="AB99" s="437"/>
      <c r="AC99" s="437"/>
      <c r="AD99" s="437"/>
      <c r="AE99" s="437"/>
      <c r="AF99" s="437"/>
      <c r="AG99" s="437"/>
      <c r="AH99" s="437"/>
      <c r="AI99" s="437"/>
      <c r="AJ99" s="437"/>
      <c r="AK99" s="437"/>
      <c r="AL99" s="437"/>
      <c r="AM99" s="437"/>
      <c r="AN99" s="437"/>
      <c r="AO99" s="437"/>
      <c r="AP99" s="437"/>
      <c r="AQ99" s="437"/>
      <c r="AR99" s="437"/>
      <c r="AS99" s="437"/>
      <c r="AT99" s="437"/>
      <c r="AU99" s="437"/>
      <c r="AV99" s="437"/>
    </row>
    <row r="100" spans="27:48" x14ac:dyDescent="0.25">
      <c r="AA100" s="437"/>
      <c r="AB100" s="437"/>
      <c r="AC100" s="437"/>
      <c r="AD100" s="437"/>
      <c r="AE100" s="437"/>
      <c r="AF100" s="437"/>
      <c r="AG100" s="437"/>
      <c r="AH100" s="437"/>
      <c r="AI100" s="437"/>
      <c r="AJ100" s="437"/>
      <c r="AK100" s="437"/>
      <c r="AL100" s="437"/>
      <c r="AM100" s="437"/>
      <c r="AN100" s="437"/>
      <c r="AO100" s="437"/>
      <c r="AP100" s="437"/>
      <c r="AQ100" s="437"/>
      <c r="AR100" s="437"/>
      <c r="AS100" s="437"/>
      <c r="AT100" s="437"/>
      <c r="AU100" s="437"/>
      <c r="AV100" s="437"/>
    </row>
    <row r="101" spans="27:48" x14ac:dyDescent="0.25">
      <c r="AA101" s="437"/>
      <c r="AB101" s="437"/>
      <c r="AC101" s="437"/>
      <c r="AD101" s="437"/>
      <c r="AE101" s="437"/>
      <c r="AF101" s="437"/>
      <c r="AG101" s="437"/>
      <c r="AH101" s="437"/>
      <c r="AI101" s="437"/>
      <c r="AJ101" s="437"/>
      <c r="AK101" s="437"/>
      <c r="AL101" s="437"/>
      <c r="AM101" s="437"/>
      <c r="AN101" s="437"/>
      <c r="AO101" s="437"/>
      <c r="AP101" s="437"/>
      <c r="AQ101" s="437"/>
      <c r="AR101" s="437"/>
      <c r="AS101" s="437"/>
      <c r="AT101" s="437"/>
      <c r="AU101" s="437"/>
      <c r="AV101" s="437"/>
    </row>
    <row r="102" spans="27:48" x14ac:dyDescent="0.25">
      <c r="AA102" s="437"/>
      <c r="AB102" s="437"/>
      <c r="AC102" s="437"/>
      <c r="AD102" s="437"/>
      <c r="AE102" s="437"/>
      <c r="AF102" s="437"/>
      <c r="AG102" s="437"/>
      <c r="AH102" s="437"/>
      <c r="AI102" s="437"/>
      <c r="AJ102" s="437"/>
      <c r="AK102" s="437"/>
      <c r="AL102" s="437"/>
      <c r="AM102" s="437"/>
      <c r="AN102" s="437"/>
      <c r="AO102" s="437"/>
      <c r="AP102" s="437"/>
      <c r="AQ102" s="437"/>
      <c r="AR102" s="437"/>
      <c r="AS102" s="437"/>
      <c r="AT102" s="437"/>
      <c r="AU102" s="437"/>
      <c r="AV102" s="437"/>
    </row>
    <row r="103" spans="27:48" x14ac:dyDescent="0.25">
      <c r="AA103" s="437"/>
      <c r="AB103" s="437"/>
      <c r="AC103" s="437"/>
      <c r="AD103" s="437"/>
      <c r="AE103" s="437"/>
      <c r="AF103" s="437"/>
      <c r="AG103" s="437"/>
      <c r="AH103" s="437"/>
      <c r="AI103" s="437"/>
      <c r="AJ103" s="437"/>
      <c r="AK103" s="437"/>
      <c r="AL103" s="437"/>
      <c r="AM103" s="437"/>
      <c r="AN103" s="437"/>
      <c r="AO103" s="437"/>
      <c r="AP103" s="437"/>
      <c r="AQ103" s="437"/>
      <c r="AR103" s="437"/>
      <c r="AS103" s="437"/>
      <c r="AT103" s="437"/>
      <c r="AU103" s="437"/>
      <c r="AV103" s="437"/>
    </row>
    <row r="104" spans="27:48" x14ac:dyDescent="0.25">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row>
    <row r="105" spans="27:48" x14ac:dyDescent="0.25">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row>
    <row r="106" spans="27:48" x14ac:dyDescent="0.25">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row>
    <row r="107" spans="27:48" x14ac:dyDescent="0.25">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row>
    <row r="108" spans="27:48" x14ac:dyDescent="0.25">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row>
    <row r="109" spans="27:48" x14ac:dyDescent="0.25">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row>
    <row r="110" spans="27:48" x14ac:dyDescent="0.25">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row>
    <row r="111" spans="27:48" x14ac:dyDescent="0.25">
      <c r="AA111" s="437"/>
      <c r="AB111" s="437"/>
      <c r="AC111" s="437"/>
      <c r="AD111" s="437"/>
      <c r="AE111" s="437"/>
      <c r="AF111" s="437"/>
      <c r="AG111" s="437"/>
      <c r="AH111" s="437"/>
      <c r="AI111" s="437"/>
      <c r="AJ111" s="437"/>
      <c r="AK111" s="437"/>
      <c r="AL111" s="437"/>
      <c r="AM111" s="437"/>
      <c r="AN111" s="437"/>
      <c r="AO111" s="437"/>
      <c r="AP111" s="437"/>
      <c r="AQ111" s="437"/>
      <c r="AR111" s="437"/>
      <c r="AS111" s="437"/>
      <c r="AT111" s="437"/>
      <c r="AU111" s="437"/>
      <c r="AV111" s="437"/>
    </row>
    <row r="112" spans="27:48" x14ac:dyDescent="0.25">
      <c r="AA112" s="437"/>
      <c r="AB112" s="437"/>
      <c r="AC112" s="437"/>
      <c r="AD112" s="437"/>
      <c r="AE112" s="437"/>
      <c r="AF112" s="437"/>
      <c r="AG112" s="437"/>
      <c r="AH112" s="437"/>
      <c r="AI112" s="437"/>
      <c r="AJ112" s="437"/>
      <c r="AK112" s="437"/>
      <c r="AL112" s="437"/>
      <c r="AM112" s="437"/>
      <c r="AN112" s="437"/>
      <c r="AO112" s="437"/>
      <c r="AP112" s="437"/>
      <c r="AQ112" s="437"/>
      <c r="AR112" s="437"/>
      <c r="AS112" s="437"/>
      <c r="AT112" s="437"/>
      <c r="AU112" s="437"/>
      <c r="AV112" s="437"/>
    </row>
    <row r="113" spans="27:48" x14ac:dyDescent="0.25">
      <c r="AA113" s="437"/>
      <c r="AB113" s="437"/>
      <c r="AC113" s="437"/>
      <c r="AD113" s="437"/>
      <c r="AE113" s="437"/>
      <c r="AF113" s="437"/>
      <c r="AG113" s="437"/>
      <c r="AH113" s="437"/>
      <c r="AI113" s="437"/>
      <c r="AJ113" s="437"/>
      <c r="AK113" s="437"/>
      <c r="AL113" s="437"/>
      <c r="AM113" s="437"/>
      <c r="AN113" s="437"/>
      <c r="AO113" s="437"/>
      <c r="AP113" s="437"/>
      <c r="AQ113" s="437"/>
      <c r="AR113" s="437"/>
      <c r="AS113" s="437"/>
      <c r="AT113" s="437"/>
      <c r="AU113" s="437"/>
      <c r="AV113" s="437"/>
    </row>
    <row r="114" spans="27:48" x14ac:dyDescent="0.25">
      <c r="AA114" s="437"/>
      <c r="AB114" s="437"/>
      <c r="AC114" s="437"/>
      <c r="AD114" s="437"/>
      <c r="AE114" s="437"/>
      <c r="AF114" s="437"/>
      <c r="AG114" s="437"/>
      <c r="AH114" s="437"/>
      <c r="AI114" s="437"/>
      <c r="AJ114" s="437"/>
      <c r="AK114" s="437"/>
      <c r="AL114" s="437"/>
      <c r="AM114" s="437"/>
      <c r="AN114" s="437"/>
      <c r="AO114" s="437"/>
      <c r="AP114" s="437"/>
      <c r="AQ114" s="437"/>
      <c r="AR114" s="437"/>
      <c r="AS114" s="437"/>
      <c r="AT114" s="437"/>
      <c r="AU114" s="437"/>
      <c r="AV114" s="437"/>
    </row>
    <row r="115" spans="27:48" x14ac:dyDescent="0.25">
      <c r="AA115" s="437"/>
      <c r="AB115" s="437"/>
      <c r="AC115" s="437"/>
      <c r="AD115" s="437"/>
      <c r="AE115" s="437"/>
      <c r="AF115" s="437"/>
      <c r="AG115" s="437"/>
      <c r="AH115" s="437"/>
      <c r="AI115" s="437"/>
      <c r="AJ115" s="437"/>
      <c r="AK115" s="437"/>
      <c r="AL115" s="437"/>
      <c r="AM115" s="437"/>
      <c r="AN115" s="437"/>
      <c r="AO115" s="437"/>
      <c r="AP115" s="437"/>
      <c r="AQ115" s="437"/>
      <c r="AR115" s="437"/>
      <c r="AS115" s="437"/>
      <c r="AT115" s="437"/>
      <c r="AU115" s="437"/>
      <c r="AV115" s="437"/>
    </row>
    <row r="116" spans="27:48" x14ac:dyDescent="0.25">
      <c r="AA116" s="437"/>
      <c r="AB116" s="437"/>
      <c r="AC116" s="437"/>
      <c r="AD116" s="437"/>
      <c r="AE116" s="437"/>
      <c r="AF116" s="437"/>
      <c r="AG116" s="437"/>
      <c r="AH116" s="437"/>
      <c r="AI116" s="437"/>
      <c r="AJ116" s="437"/>
      <c r="AK116" s="437"/>
      <c r="AL116" s="437"/>
      <c r="AM116" s="437"/>
      <c r="AN116" s="437"/>
      <c r="AO116" s="437"/>
      <c r="AP116" s="437"/>
      <c r="AQ116" s="437"/>
      <c r="AR116" s="437"/>
      <c r="AS116" s="437"/>
      <c r="AT116" s="437"/>
      <c r="AU116" s="437"/>
      <c r="AV116" s="437"/>
    </row>
    <row r="117" spans="27:48" x14ac:dyDescent="0.25">
      <c r="AA117" s="437"/>
      <c r="AB117" s="437"/>
      <c r="AC117" s="437"/>
      <c r="AD117" s="437"/>
      <c r="AE117" s="437"/>
      <c r="AF117" s="437"/>
      <c r="AG117" s="437"/>
      <c r="AH117" s="437"/>
      <c r="AI117" s="437"/>
      <c r="AJ117" s="437"/>
      <c r="AK117" s="437"/>
      <c r="AL117" s="437"/>
      <c r="AM117" s="437"/>
      <c r="AN117" s="437"/>
      <c r="AO117" s="437"/>
      <c r="AP117" s="437"/>
      <c r="AQ117" s="437"/>
      <c r="AR117" s="437"/>
      <c r="AS117" s="437"/>
      <c r="AT117" s="437"/>
      <c r="AU117" s="437"/>
      <c r="AV117" s="437"/>
    </row>
    <row r="118" spans="27:48" x14ac:dyDescent="0.25">
      <c r="AA118" s="437"/>
      <c r="AB118" s="437"/>
      <c r="AC118" s="437"/>
      <c r="AD118" s="437"/>
      <c r="AE118" s="437"/>
      <c r="AF118" s="437"/>
      <c r="AG118" s="437"/>
      <c r="AH118" s="437"/>
      <c r="AI118" s="437"/>
      <c r="AJ118" s="437"/>
      <c r="AK118" s="437"/>
      <c r="AL118" s="437"/>
      <c r="AM118" s="437"/>
      <c r="AN118" s="437"/>
      <c r="AO118" s="437"/>
      <c r="AP118" s="437"/>
      <c r="AQ118" s="437"/>
      <c r="AR118" s="437"/>
      <c r="AS118" s="437"/>
      <c r="AT118" s="437"/>
      <c r="AU118" s="437"/>
      <c r="AV118" s="437"/>
    </row>
    <row r="119" spans="27:48" x14ac:dyDescent="0.25">
      <c r="AA119" s="437"/>
      <c r="AB119" s="437"/>
      <c r="AC119" s="437"/>
      <c r="AD119" s="437"/>
      <c r="AE119" s="437"/>
      <c r="AF119" s="437"/>
      <c r="AG119" s="437"/>
      <c r="AH119" s="437"/>
      <c r="AI119" s="437"/>
      <c r="AJ119" s="437"/>
      <c r="AK119" s="437"/>
      <c r="AL119" s="437"/>
      <c r="AM119" s="437"/>
      <c r="AN119" s="437"/>
      <c r="AO119" s="437"/>
      <c r="AP119" s="437"/>
      <c r="AQ119" s="437"/>
      <c r="AR119" s="437"/>
      <c r="AS119" s="437"/>
      <c r="AT119" s="437"/>
      <c r="AU119" s="437"/>
      <c r="AV119" s="437"/>
    </row>
    <row r="120" spans="27:48" x14ac:dyDescent="0.25">
      <c r="AA120" s="437"/>
      <c r="AB120" s="437"/>
      <c r="AC120" s="437"/>
      <c r="AD120" s="437"/>
      <c r="AE120" s="437"/>
      <c r="AF120" s="437"/>
      <c r="AG120" s="437"/>
      <c r="AH120" s="437"/>
      <c r="AI120" s="437"/>
      <c r="AJ120" s="437"/>
      <c r="AK120" s="437"/>
      <c r="AL120" s="437"/>
      <c r="AM120" s="437"/>
      <c r="AN120" s="437"/>
      <c r="AO120" s="437"/>
      <c r="AP120" s="437"/>
      <c r="AQ120" s="437"/>
      <c r="AR120" s="437"/>
      <c r="AS120" s="437"/>
      <c r="AT120" s="437"/>
      <c r="AU120" s="437"/>
      <c r="AV120" s="437"/>
    </row>
    <row r="121" spans="27:48" x14ac:dyDescent="0.25">
      <c r="AA121" s="437"/>
      <c r="AB121" s="437"/>
      <c r="AC121" s="437"/>
      <c r="AD121" s="437"/>
      <c r="AE121" s="437"/>
      <c r="AF121" s="437"/>
      <c r="AG121" s="437"/>
      <c r="AH121" s="437"/>
      <c r="AI121" s="437"/>
      <c r="AJ121" s="437"/>
      <c r="AK121" s="437"/>
      <c r="AL121" s="437"/>
      <c r="AM121" s="437"/>
      <c r="AN121" s="437"/>
      <c r="AO121" s="437"/>
      <c r="AP121" s="437"/>
      <c r="AQ121" s="437"/>
      <c r="AR121" s="437"/>
      <c r="AS121" s="437"/>
      <c r="AT121" s="437"/>
      <c r="AU121" s="437"/>
      <c r="AV121" s="437"/>
    </row>
    <row r="122" spans="27:48" x14ac:dyDescent="0.25">
      <c r="AA122" s="437"/>
      <c r="AB122" s="437"/>
      <c r="AC122" s="437"/>
      <c r="AD122" s="437"/>
      <c r="AE122" s="437"/>
      <c r="AF122" s="437"/>
      <c r="AG122" s="437"/>
      <c r="AH122" s="437"/>
      <c r="AI122" s="437"/>
      <c r="AJ122" s="437"/>
      <c r="AK122" s="437"/>
      <c r="AL122" s="437"/>
      <c r="AM122" s="437"/>
      <c r="AN122" s="437"/>
      <c r="AO122" s="437"/>
      <c r="AP122" s="437"/>
      <c r="AQ122" s="437"/>
      <c r="AR122" s="437"/>
      <c r="AS122" s="437"/>
      <c r="AT122" s="437"/>
      <c r="AU122" s="437"/>
      <c r="AV122" s="437"/>
    </row>
    <row r="123" spans="27:48" x14ac:dyDescent="0.25">
      <c r="AA123" s="437"/>
      <c r="AB123" s="437"/>
      <c r="AC123" s="437"/>
      <c r="AD123" s="437"/>
      <c r="AE123" s="437"/>
      <c r="AF123" s="437"/>
      <c r="AG123" s="437"/>
      <c r="AH123" s="437"/>
      <c r="AI123" s="437"/>
      <c r="AJ123" s="437"/>
      <c r="AK123" s="437"/>
      <c r="AL123" s="437"/>
      <c r="AM123" s="437"/>
      <c r="AN123" s="437"/>
      <c r="AO123" s="437"/>
      <c r="AP123" s="437"/>
      <c r="AQ123" s="437"/>
      <c r="AR123" s="437"/>
      <c r="AS123" s="437"/>
      <c r="AT123" s="437"/>
      <c r="AU123" s="437"/>
      <c r="AV123" s="437"/>
    </row>
    <row r="124" spans="27:48" x14ac:dyDescent="0.25">
      <c r="AA124" s="437"/>
      <c r="AB124" s="437"/>
      <c r="AC124" s="437"/>
      <c r="AD124" s="437"/>
      <c r="AE124" s="437"/>
      <c r="AF124" s="437"/>
      <c r="AG124" s="437"/>
      <c r="AH124" s="437"/>
      <c r="AI124" s="437"/>
      <c r="AJ124" s="437"/>
      <c r="AK124" s="437"/>
      <c r="AL124" s="437"/>
      <c r="AM124" s="437"/>
      <c r="AN124" s="437"/>
      <c r="AO124" s="437"/>
      <c r="AP124" s="437"/>
      <c r="AQ124" s="437"/>
      <c r="AR124" s="437"/>
      <c r="AS124" s="437"/>
      <c r="AT124" s="437"/>
      <c r="AU124" s="437"/>
      <c r="AV124" s="437"/>
    </row>
    <row r="125" spans="27:48" x14ac:dyDescent="0.25">
      <c r="AA125" s="437"/>
      <c r="AB125" s="437"/>
      <c r="AC125" s="437"/>
      <c r="AD125" s="437"/>
      <c r="AE125" s="437"/>
      <c r="AF125" s="437"/>
      <c r="AG125" s="437"/>
      <c r="AH125" s="437"/>
      <c r="AI125" s="437"/>
      <c r="AJ125" s="437"/>
      <c r="AK125" s="437"/>
      <c r="AL125" s="437"/>
      <c r="AM125" s="437"/>
      <c r="AN125" s="437"/>
      <c r="AO125" s="437"/>
      <c r="AP125" s="437"/>
      <c r="AQ125" s="437"/>
      <c r="AR125" s="437"/>
      <c r="AS125" s="437"/>
      <c r="AT125" s="437"/>
      <c r="AU125" s="437"/>
      <c r="AV125" s="437"/>
    </row>
    <row r="126" spans="27:48" x14ac:dyDescent="0.25">
      <c r="AA126" s="437"/>
      <c r="AB126" s="437"/>
      <c r="AC126" s="437"/>
      <c r="AD126" s="437"/>
      <c r="AE126" s="437"/>
      <c r="AF126" s="437"/>
      <c r="AG126" s="437"/>
      <c r="AH126" s="437"/>
      <c r="AI126" s="437"/>
      <c r="AJ126" s="437"/>
      <c r="AK126" s="437"/>
      <c r="AL126" s="437"/>
      <c r="AM126" s="437"/>
      <c r="AN126" s="437"/>
      <c r="AO126" s="437"/>
      <c r="AP126" s="437"/>
      <c r="AQ126" s="437"/>
      <c r="AR126" s="437"/>
      <c r="AS126" s="437"/>
      <c r="AT126" s="437"/>
      <c r="AU126" s="437"/>
      <c r="AV126" s="437"/>
    </row>
    <row r="127" spans="27:48" x14ac:dyDescent="0.25">
      <c r="AA127" s="437"/>
      <c r="AB127" s="437"/>
      <c r="AC127" s="437"/>
      <c r="AD127" s="437"/>
      <c r="AE127" s="437"/>
      <c r="AF127" s="437"/>
      <c r="AG127" s="437"/>
      <c r="AH127" s="437"/>
      <c r="AI127" s="437"/>
      <c r="AJ127" s="437"/>
      <c r="AK127" s="437"/>
      <c r="AL127" s="437"/>
      <c r="AM127" s="437"/>
      <c r="AN127" s="437"/>
      <c r="AO127" s="437"/>
      <c r="AP127" s="437"/>
      <c r="AQ127" s="437"/>
      <c r="AR127" s="437"/>
      <c r="AS127" s="437"/>
      <c r="AT127" s="437"/>
      <c r="AU127" s="437"/>
      <c r="AV127" s="437"/>
    </row>
    <row r="128" spans="27:48" x14ac:dyDescent="0.25">
      <c r="AA128" s="437"/>
      <c r="AB128" s="437"/>
      <c r="AC128" s="437"/>
      <c r="AD128" s="437"/>
      <c r="AE128" s="437"/>
      <c r="AF128" s="437"/>
      <c r="AG128" s="437"/>
      <c r="AH128" s="437"/>
      <c r="AI128" s="437"/>
      <c r="AJ128" s="437"/>
      <c r="AK128" s="437"/>
      <c r="AL128" s="437"/>
      <c r="AM128" s="437"/>
      <c r="AN128" s="437"/>
      <c r="AO128" s="437"/>
      <c r="AP128" s="437"/>
      <c r="AQ128" s="437"/>
      <c r="AR128" s="437"/>
      <c r="AS128" s="437"/>
      <c r="AT128" s="437"/>
      <c r="AU128" s="437"/>
      <c r="AV128" s="437"/>
    </row>
    <row r="129" spans="27:48" x14ac:dyDescent="0.25">
      <c r="AA129" s="437"/>
      <c r="AB129" s="437"/>
      <c r="AC129" s="437"/>
      <c r="AD129" s="437"/>
      <c r="AE129" s="437"/>
      <c r="AF129" s="437"/>
      <c r="AG129" s="437"/>
      <c r="AH129" s="437"/>
      <c r="AI129" s="437"/>
      <c r="AJ129" s="437"/>
      <c r="AK129" s="437"/>
      <c r="AL129" s="437"/>
      <c r="AM129" s="437"/>
      <c r="AN129" s="437"/>
      <c r="AO129" s="437"/>
      <c r="AP129" s="437"/>
      <c r="AQ129" s="437"/>
      <c r="AR129" s="437"/>
      <c r="AS129" s="437"/>
      <c r="AT129" s="437"/>
      <c r="AU129" s="437"/>
      <c r="AV129" s="437"/>
    </row>
    <row r="130" spans="27:48" x14ac:dyDescent="0.25">
      <c r="AA130" s="437"/>
      <c r="AB130" s="437"/>
      <c r="AC130" s="437"/>
      <c r="AD130" s="437"/>
      <c r="AE130" s="437"/>
      <c r="AF130" s="437"/>
      <c r="AG130" s="437"/>
      <c r="AH130" s="437"/>
      <c r="AI130" s="437"/>
      <c r="AJ130" s="437"/>
      <c r="AK130" s="437"/>
      <c r="AL130" s="437"/>
      <c r="AM130" s="437"/>
      <c r="AN130" s="437"/>
      <c r="AO130" s="437"/>
      <c r="AP130" s="437"/>
      <c r="AQ130" s="437"/>
      <c r="AR130" s="437"/>
      <c r="AS130" s="437"/>
      <c r="AT130" s="437"/>
      <c r="AU130" s="437"/>
      <c r="AV130" s="437"/>
    </row>
    <row r="131" spans="27:48" x14ac:dyDescent="0.25">
      <c r="AA131" s="437"/>
      <c r="AB131" s="437"/>
      <c r="AC131" s="437"/>
      <c r="AD131" s="437"/>
      <c r="AE131" s="437"/>
      <c r="AF131" s="437"/>
      <c r="AG131" s="437"/>
      <c r="AH131" s="437"/>
      <c r="AI131" s="437"/>
      <c r="AJ131" s="437"/>
      <c r="AK131" s="437"/>
      <c r="AL131" s="437"/>
      <c r="AM131" s="437"/>
      <c r="AN131" s="437"/>
      <c r="AO131" s="437"/>
      <c r="AP131" s="437"/>
      <c r="AQ131" s="437"/>
      <c r="AR131" s="437"/>
      <c r="AS131" s="437"/>
      <c r="AT131" s="437"/>
      <c r="AU131" s="437"/>
      <c r="AV131" s="437"/>
    </row>
    <row r="132" spans="27:48" x14ac:dyDescent="0.25">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row>
    <row r="133" spans="27:48" x14ac:dyDescent="0.25">
      <c r="AA133" s="437"/>
      <c r="AB133" s="437"/>
      <c r="AC133" s="437"/>
      <c r="AD133" s="437"/>
      <c r="AE133" s="437"/>
      <c r="AF133" s="437"/>
      <c r="AG133" s="437"/>
      <c r="AH133" s="437"/>
      <c r="AI133" s="437"/>
      <c r="AJ133" s="437"/>
      <c r="AK133" s="437"/>
      <c r="AL133" s="437"/>
      <c r="AM133" s="437"/>
      <c r="AN133" s="437"/>
      <c r="AO133" s="437"/>
      <c r="AP133" s="437"/>
      <c r="AQ133" s="437"/>
      <c r="AR133" s="437"/>
      <c r="AS133" s="437"/>
      <c r="AT133" s="437"/>
      <c r="AU133" s="437"/>
      <c r="AV133" s="437"/>
    </row>
    <row r="134" spans="27:48" x14ac:dyDescent="0.25">
      <c r="AA134" s="437"/>
      <c r="AB134" s="437"/>
      <c r="AC134" s="437"/>
      <c r="AD134" s="437"/>
      <c r="AE134" s="437"/>
      <c r="AF134" s="437"/>
      <c r="AG134" s="437"/>
      <c r="AH134" s="437"/>
      <c r="AI134" s="437"/>
      <c r="AJ134" s="437"/>
      <c r="AK134" s="437"/>
      <c r="AL134" s="437"/>
      <c r="AM134" s="437"/>
      <c r="AN134" s="437"/>
      <c r="AO134" s="437"/>
      <c r="AP134" s="437"/>
      <c r="AQ134" s="437"/>
      <c r="AR134" s="437"/>
      <c r="AS134" s="437"/>
      <c r="AT134" s="437"/>
      <c r="AU134" s="437"/>
      <c r="AV134" s="437"/>
    </row>
    <row r="135" spans="27:48" x14ac:dyDescent="0.25">
      <c r="AA135" s="437"/>
      <c r="AB135" s="437"/>
      <c r="AC135" s="437"/>
      <c r="AD135" s="437"/>
      <c r="AE135" s="437"/>
      <c r="AF135" s="437"/>
      <c r="AG135" s="437"/>
      <c r="AH135" s="437"/>
      <c r="AI135" s="437"/>
      <c r="AJ135" s="437"/>
      <c r="AK135" s="437"/>
      <c r="AL135" s="437"/>
      <c r="AM135" s="437"/>
      <c r="AN135" s="437"/>
      <c r="AO135" s="437"/>
      <c r="AP135" s="437"/>
      <c r="AQ135" s="437"/>
      <c r="AR135" s="437"/>
      <c r="AS135" s="437"/>
      <c r="AT135" s="437"/>
      <c r="AU135" s="437"/>
      <c r="AV135" s="437"/>
    </row>
    <row r="136" spans="27:48" x14ac:dyDescent="0.25">
      <c r="AA136" s="437"/>
      <c r="AB136" s="437"/>
      <c r="AC136" s="437"/>
      <c r="AD136" s="437"/>
      <c r="AE136" s="437"/>
      <c r="AF136" s="437"/>
      <c r="AG136" s="437"/>
      <c r="AH136" s="437"/>
      <c r="AI136" s="437"/>
      <c r="AJ136" s="437"/>
      <c r="AK136" s="437"/>
      <c r="AL136" s="437"/>
      <c r="AM136" s="437"/>
      <c r="AN136" s="437"/>
      <c r="AO136" s="437"/>
      <c r="AP136" s="437"/>
      <c r="AQ136" s="437"/>
      <c r="AR136" s="437"/>
      <c r="AS136" s="437"/>
      <c r="AT136" s="437"/>
      <c r="AU136" s="437"/>
      <c r="AV136" s="437"/>
    </row>
    <row r="137" spans="27:48" x14ac:dyDescent="0.25">
      <c r="AA137" s="437"/>
      <c r="AB137" s="437"/>
      <c r="AC137" s="437"/>
      <c r="AD137" s="437"/>
      <c r="AE137" s="437"/>
      <c r="AF137" s="437"/>
      <c r="AG137" s="437"/>
      <c r="AH137" s="437"/>
      <c r="AI137" s="437"/>
      <c r="AJ137" s="437"/>
      <c r="AK137" s="437"/>
      <c r="AL137" s="437"/>
      <c r="AM137" s="437"/>
      <c r="AN137" s="437"/>
      <c r="AO137" s="437"/>
      <c r="AP137" s="437"/>
      <c r="AQ137" s="437"/>
      <c r="AR137" s="437"/>
      <c r="AS137" s="437"/>
      <c r="AT137" s="437"/>
      <c r="AU137" s="437"/>
      <c r="AV137" s="437"/>
    </row>
    <row r="138" spans="27:48" x14ac:dyDescent="0.25">
      <c r="AA138" s="437"/>
      <c r="AB138" s="437"/>
      <c r="AC138" s="437"/>
      <c r="AD138" s="437"/>
      <c r="AE138" s="437"/>
      <c r="AF138" s="437"/>
      <c r="AG138" s="437"/>
      <c r="AH138" s="437"/>
      <c r="AI138" s="437"/>
      <c r="AJ138" s="437"/>
      <c r="AK138" s="437"/>
      <c r="AL138" s="437"/>
      <c r="AM138" s="437"/>
      <c r="AN138" s="437"/>
      <c r="AO138" s="437"/>
      <c r="AP138" s="437"/>
      <c r="AQ138" s="437"/>
      <c r="AR138" s="437"/>
      <c r="AS138" s="437"/>
      <c r="AT138" s="437"/>
      <c r="AU138" s="437"/>
      <c r="AV138" s="437"/>
    </row>
    <row r="139" spans="27:48" x14ac:dyDescent="0.25">
      <c r="AA139" s="437"/>
      <c r="AB139" s="437"/>
      <c r="AC139" s="437"/>
      <c r="AD139" s="437"/>
      <c r="AE139" s="437"/>
      <c r="AF139" s="437"/>
      <c r="AG139" s="437"/>
      <c r="AH139" s="437"/>
      <c r="AI139" s="437"/>
      <c r="AJ139" s="437"/>
      <c r="AK139" s="437"/>
      <c r="AL139" s="437"/>
      <c r="AM139" s="437"/>
      <c r="AN139" s="437"/>
      <c r="AO139" s="437"/>
      <c r="AP139" s="437"/>
      <c r="AQ139" s="437"/>
      <c r="AR139" s="437"/>
      <c r="AS139" s="437"/>
      <c r="AT139" s="437"/>
      <c r="AU139" s="437"/>
      <c r="AV139" s="437"/>
    </row>
    <row r="140" spans="27:48" x14ac:dyDescent="0.25">
      <c r="AA140" s="437"/>
      <c r="AB140" s="437"/>
      <c r="AC140" s="437"/>
      <c r="AD140" s="437"/>
      <c r="AE140" s="437"/>
      <c r="AF140" s="437"/>
      <c r="AG140" s="437"/>
      <c r="AH140" s="437"/>
      <c r="AI140" s="437"/>
      <c r="AJ140" s="437"/>
      <c r="AK140" s="437"/>
      <c r="AL140" s="437"/>
      <c r="AM140" s="437"/>
      <c r="AN140" s="437"/>
      <c r="AO140" s="437"/>
      <c r="AP140" s="437"/>
      <c r="AQ140" s="437"/>
      <c r="AR140" s="437"/>
      <c r="AS140" s="437"/>
      <c r="AT140" s="437"/>
      <c r="AU140" s="437"/>
      <c r="AV140" s="437"/>
    </row>
    <row r="141" spans="27:48" x14ac:dyDescent="0.25">
      <c r="AA141" s="437"/>
      <c r="AB141" s="437"/>
      <c r="AC141" s="437"/>
      <c r="AD141" s="437"/>
      <c r="AE141" s="437"/>
      <c r="AF141" s="437"/>
      <c r="AG141" s="437"/>
      <c r="AH141" s="437"/>
      <c r="AI141" s="437"/>
      <c r="AJ141" s="437"/>
      <c r="AK141" s="437"/>
      <c r="AL141" s="437"/>
      <c r="AM141" s="437"/>
      <c r="AN141" s="437"/>
      <c r="AO141" s="437"/>
      <c r="AP141" s="437"/>
      <c r="AQ141" s="437"/>
      <c r="AR141" s="437"/>
      <c r="AS141" s="437"/>
      <c r="AT141" s="437"/>
      <c r="AU141" s="437"/>
      <c r="AV141" s="437"/>
    </row>
    <row r="142" spans="27:48" x14ac:dyDescent="0.25">
      <c r="AA142" s="437"/>
      <c r="AB142" s="437"/>
      <c r="AC142" s="437"/>
      <c r="AD142" s="437"/>
      <c r="AE142" s="437"/>
      <c r="AF142" s="437"/>
      <c r="AG142" s="437"/>
      <c r="AH142" s="437"/>
      <c r="AI142" s="437"/>
      <c r="AJ142" s="437"/>
      <c r="AK142" s="437"/>
      <c r="AL142" s="437"/>
      <c r="AM142" s="437"/>
      <c r="AN142" s="437"/>
      <c r="AO142" s="437"/>
      <c r="AP142" s="437"/>
      <c r="AQ142" s="437"/>
      <c r="AR142" s="437"/>
      <c r="AS142" s="437"/>
      <c r="AT142" s="437"/>
      <c r="AU142" s="437"/>
      <c r="AV142" s="437"/>
    </row>
    <row r="143" spans="27:48" x14ac:dyDescent="0.25">
      <c r="AA143" s="437"/>
      <c r="AB143" s="437"/>
      <c r="AC143" s="437"/>
      <c r="AD143" s="437"/>
      <c r="AE143" s="437"/>
      <c r="AF143" s="437"/>
      <c r="AG143" s="437"/>
      <c r="AH143" s="437"/>
      <c r="AI143" s="437"/>
      <c r="AJ143" s="437"/>
      <c r="AK143" s="437"/>
      <c r="AL143" s="437"/>
      <c r="AM143" s="437"/>
      <c r="AN143" s="437"/>
      <c r="AO143" s="437"/>
      <c r="AP143" s="437"/>
      <c r="AQ143" s="437"/>
      <c r="AR143" s="437"/>
      <c r="AS143" s="437"/>
      <c r="AT143" s="437"/>
      <c r="AU143" s="437"/>
      <c r="AV143" s="437"/>
    </row>
    <row r="144" spans="27:48" x14ac:dyDescent="0.25">
      <c r="AA144" s="437"/>
      <c r="AB144" s="437"/>
      <c r="AC144" s="437"/>
      <c r="AD144" s="437"/>
      <c r="AE144" s="437"/>
      <c r="AF144" s="437"/>
      <c r="AG144" s="437"/>
      <c r="AH144" s="437"/>
      <c r="AI144" s="437"/>
      <c r="AJ144" s="437"/>
      <c r="AK144" s="437"/>
      <c r="AL144" s="437"/>
      <c r="AM144" s="437"/>
      <c r="AN144" s="437"/>
      <c r="AO144" s="437"/>
      <c r="AP144" s="437"/>
      <c r="AQ144" s="437"/>
      <c r="AR144" s="437"/>
      <c r="AS144" s="437"/>
      <c r="AT144" s="437"/>
      <c r="AU144" s="437"/>
      <c r="AV144" s="437"/>
    </row>
    <row r="145" spans="27:48" x14ac:dyDescent="0.25">
      <c r="AA145" s="437"/>
      <c r="AB145" s="437"/>
      <c r="AC145" s="437"/>
      <c r="AD145" s="437"/>
      <c r="AE145" s="437"/>
      <c r="AF145" s="437"/>
      <c r="AG145" s="437"/>
      <c r="AH145" s="437"/>
      <c r="AI145" s="437"/>
      <c r="AJ145" s="437"/>
      <c r="AK145" s="437"/>
      <c r="AL145" s="437"/>
      <c r="AM145" s="437"/>
      <c r="AN145" s="437"/>
      <c r="AO145" s="437"/>
      <c r="AP145" s="437"/>
      <c r="AQ145" s="437"/>
      <c r="AR145" s="437"/>
      <c r="AS145" s="437"/>
      <c r="AT145" s="437"/>
      <c r="AU145" s="437"/>
      <c r="AV145" s="437"/>
    </row>
    <row r="146" spans="27:48" x14ac:dyDescent="0.25">
      <c r="AA146" s="437"/>
      <c r="AB146" s="437"/>
      <c r="AC146" s="437"/>
      <c r="AD146" s="437"/>
      <c r="AE146" s="437"/>
      <c r="AF146" s="437"/>
      <c r="AG146" s="437"/>
      <c r="AH146" s="437"/>
      <c r="AI146" s="437"/>
      <c r="AJ146" s="437"/>
      <c r="AK146" s="437"/>
      <c r="AL146" s="437"/>
      <c r="AM146" s="437"/>
      <c r="AN146" s="437"/>
      <c r="AO146" s="437"/>
      <c r="AP146" s="437"/>
      <c r="AQ146" s="437"/>
      <c r="AR146" s="437"/>
      <c r="AS146" s="437"/>
      <c r="AT146" s="437"/>
      <c r="AU146" s="437"/>
      <c r="AV146" s="437"/>
    </row>
    <row r="147" spans="27:48" x14ac:dyDescent="0.25">
      <c r="AA147" s="437"/>
      <c r="AB147" s="437"/>
      <c r="AC147" s="437"/>
      <c r="AD147" s="437"/>
      <c r="AE147" s="437"/>
      <c r="AF147" s="437"/>
      <c r="AG147" s="437"/>
      <c r="AH147" s="437"/>
      <c r="AI147" s="437"/>
      <c r="AJ147" s="437"/>
      <c r="AK147" s="437"/>
      <c r="AL147" s="437"/>
      <c r="AM147" s="437"/>
      <c r="AN147" s="437"/>
      <c r="AO147" s="437"/>
      <c r="AP147" s="437"/>
      <c r="AQ147" s="437"/>
      <c r="AR147" s="437"/>
      <c r="AS147" s="437"/>
      <c r="AT147" s="437"/>
      <c r="AU147" s="437"/>
      <c r="AV147" s="437"/>
    </row>
    <row r="148" spans="27:48" x14ac:dyDescent="0.25">
      <c r="AA148" s="437"/>
      <c r="AB148" s="437"/>
      <c r="AC148" s="437"/>
      <c r="AD148" s="437"/>
      <c r="AE148" s="437"/>
      <c r="AF148" s="437"/>
      <c r="AG148" s="437"/>
      <c r="AH148" s="437"/>
      <c r="AI148" s="437"/>
      <c r="AJ148" s="437"/>
      <c r="AK148" s="437"/>
      <c r="AL148" s="437"/>
      <c r="AM148" s="437"/>
      <c r="AN148" s="437"/>
      <c r="AO148" s="437"/>
      <c r="AP148" s="437"/>
      <c r="AQ148" s="437"/>
      <c r="AR148" s="437"/>
      <c r="AS148" s="437"/>
      <c r="AT148" s="437"/>
      <c r="AU148" s="437"/>
      <c r="AV148" s="437"/>
    </row>
    <row r="149" spans="27:48" x14ac:dyDescent="0.25">
      <c r="AA149" s="437"/>
      <c r="AB149" s="437"/>
      <c r="AC149" s="437"/>
      <c r="AD149" s="437"/>
      <c r="AE149" s="437"/>
      <c r="AF149" s="437"/>
      <c r="AG149" s="437"/>
      <c r="AH149" s="437"/>
      <c r="AI149" s="437"/>
      <c r="AJ149" s="437"/>
      <c r="AK149" s="437"/>
      <c r="AL149" s="437"/>
      <c r="AM149" s="437"/>
      <c r="AN149" s="437"/>
      <c r="AO149" s="437"/>
      <c r="AP149" s="437"/>
      <c r="AQ149" s="437"/>
      <c r="AR149" s="437"/>
      <c r="AS149" s="437"/>
      <c r="AT149" s="437"/>
      <c r="AU149" s="437"/>
      <c r="AV149" s="437"/>
    </row>
    <row r="150" spans="27:48" x14ac:dyDescent="0.25">
      <c r="AA150" s="437"/>
      <c r="AB150" s="437"/>
      <c r="AC150" s="437"/>
      <c r="AD150" s="437"/>
      <c r="AE150" s="437"/>
      <c r="AF150" s="437"/>
      <c r="AG150" s="437"/>
      <c r="AH150" s="437"/>
      <c r="AI150" s="437"/>
      <c r="AJ150" s="437"/>
      <c r="AK150" s="437"/>
      <c r="AL150" s="437"/>
      <c r="AM150" s="437"/>
      <c r="AN150" s="437"/>
      <c r="AO150" s="437"/>
      <c r="AP150" s="437"/>
      <c r="AQ150" s="437"/>
      <c r="AR150" s="437"/>
      <c r="AS150" s="437"/>
      <c r="AT150" s="437"/>
      <c r="AU150" s="437"/>
      <c r="AV150" s="437"/>
    </row>
    <row r="151" spans="27:48" x14ac:dyDescent="0.25">
      <c r="AA151" s="437"/>
      <c r="AB151" s="437"/>
      <c r="AC151" s="437"/>
      <c r="AD151" s="437"/>
      <c r="AE151" s="437"/>
      <c r="AF151" s="437"/>
      <c r="AG151" s="437"/>
      <c r="AH151" s="437"/>
      <c r="AI151" s="437"/>
      <c r="AJ151" s="437"/>
      <c r="AK151" s="437"/>
      <c r="AL151" s="437"/>
      <c r="AM151" s="437"/>
      <c r="AN151" s="437"/>
      <c r="AO151" s="437"/>
      <c r="AP151" s="437"/>
      <c r="AQ151" s="437"/>
      <c r="AR151" s="437"/>
      <c r="AS151" s="437"/>
      <c r="AT151" s="437"/>
      <c r="AU151" s="437"/>
      <c r="AV151" s="437"/>
    </row>
    <row r="152" spans="27:48" x14ac:dyDescent="0.25">
      <c r="AA152" s="437"/>
      <c r="AB152" s="437"/>
      <c r="AC152" s="437"/>
      <c r="AD152" s="437"/>
      <c r="AE152" s="437"/>
      <c r="AF152" s="437"/>
      <c r="AG152" s="437"/>
      <c r="AH152" s="437"/>
      <c r="AI152" s="437"/>
      <c r="AJ152" s="437"/>
      <c r="AK152" s="437"/>
      <c r="AL152" s="437"/>
      <c r="AM152" s="437"/>
      <c r="AN152" s="437"/>
      <c r="AO152" s="437"/>
      <c r="AP152" s="437"/>
      <c r="AQ152" s="437"/>
      <c r="AR152" s="437"/>
      <c r="AS152" s="437"/>
      <c r="AT152" s="437"/>
      <c r="AU152" s="437"/>
      <c r="AV152" s="437"/>
    </row>
    <row r="153" spans="27:48" x14ac:dyDescent="0.25">
      <c r="AA153" s="437"/>
      <c r="AB153" s="437"/>
      <c r="AC153" s="437"/>
      <c r="AD153" s="437"/>
      <c r="AE153" s="437"/>
      <c r="AF153" s="437"/>
      <c r="AG153" s="437"/>
      <c r="AH153" s="437"/>
      <c r="AI153" s="437"/>
      <c r="AJ153" s="437"/>
      <c r="AK153" s="437"/>
      <c r="AL153" s="437"/>
      <c r="AM153" s="437"/>
      <c r="AN153" s="437"/>
      <c r="AO153" s="437"/>
      <c r="AP153" s="437"/>
      <c r="AQ153" s="437"/>
      <c r="AR153" s="437"/>
      <c r="AS153" s="437"/>
      <c r="AT153" s="437"/>
      <c r="AU153" s="437"/>
      <c r="AV153" s="437"/>
    </row>
    <row r="154" spans="27:48" x14ac:dyDescent="0.25">
      <c r="AA154" s="437"/>
      <c r="AB154" s="437"/>
      <c r="AC154" s="437"/>
      <c r="AD154" s="437"/>
      <c r="AE154" s="437"/>
      <c r="AF154" s="437"/>
      <c r="AG154" s="437"/>
      <c r="AH154" s="437"/>
      <c r="AI154" s="437"/>
      <c r="AJ154" s="437"/>
      <c r="AK154" s="437"/>
      <c r="AL154" s="437"/>
      <c r="AM154" s="437"/>
      <c r="AN154" s="437"/>
      <c r="AO154" s="437"/>
      <c r="AP154" s="437"/>
      <c r="AQ154" s="437"/>
      <c r="AR154" s="437"/>
      <c r="AS154" s="437"/>
      <c r="AT154" s="437"/>
      <c r="AU154" s="437"/>
      <c r="AV154" s="437"/>
    </row>
    <row r="155" spans="27:48" x14ac:dyDescent="0.25">
      <c r="AA155" s="437"/>
      <c r="AB155" s="437"/>
      <c r="AC155" s="437"/>
      <c r="AD155" s="437"/>
      <c r="AE155" s="437"/>
      <c r="AF155" s="437"/>
      <c r="AG155" s="437"/>
      <c r="AH155" s="437"/>
      <c r="AI155" s="437"/>
      <c r="AJ155" s="437"/>
      <c r="AK155" s="437"/>
      <c r="AL155" s="437"/>
      <c r="AM155" s="437"/>
      <c r="AN155" s="437"/>
      <c r="AO155" s="437"/>
      <c r="AP155" s="437"/>
      <c r="AQ155" s="437"/>
      <c r="AR155" s="437"/>
      <c r="AS155" s="437"/>
      <c r="AT155" s="437"/>
      <c r="AU155" s="437"/>
      <c r="AV155" s="437"/>
    </row>
    <row r="156" spans="27:48" x14ac:dyDescent="0.25">
      <c r="AA156" s="437"/>
      <c r="AB156" s="437"/>
      <c r="AC156" s="437"/>
      <c r="AD156" s="437"/>
      <c r="AE156" s="437"/>
      <c r="AF156" s="437"/>
      <c r="AG156" s="437"/>
      <c r="AH156" s="437"/>
      <c r="AI156" s="437"/>
      <c r="AJ156" s="437"/>
      <c r="AK156" s="437"/>
      <c r="AL156" s="437"/>
      <c r="AM156" s="437"/>
      <c r="AN156" s="437"/>
      <c r="AO156" s="437"/>
      <c r="AP156" s="437"/>
      <c r="AQ156" s="437"/>
      <c r="AR156" s="437"/>
      <c r="AS156" s="437"/>
      <c r="AT156" s="437"/>
      <c r="AU156" s="437"/>
      <c r="AV156" s="437"/>
    </row>
    <row r="157" spans="27:48" x14ac:dyDescent="0.25">
      <c r="AA157" s="437"/>
      <c r="AB157" s="437"/>
      <c r="AC157" s="437"/>
      <c r="AD157" s="437"/>
      <c r="AE157" s="437"/>
      <c r="AF157" s="437"/>
      <c r="AG157" s="437"/>
      <c r="AH157" s="437"/>
      <c r="AI157" s="437"/>
      <c r="AJ157" s="437"/>
      <c r="AK157" s="437"/>
      <c r="AL157" s="437"/>
      <c r="AM157" s="437"/>
      <c r="AN157" s="437"/>
      <c r="AO157" s="437"/>
      <c r="AP157" s="437"/>
      <c r="AQ157" s="437"/>
      <c r="AR157" s="437"/>
      <c r="AS157" s="437"/>
      <c r="AT157" s="437"/>
      <c r="AU157" s="437"/>
      <c r="AV157" s="437"/>
    </row>
    <row r="158" spans="27:48" x14ac:dyDescent="0.25">
      <c r="AA158" s="437"/>
      <c r="AB158" s="437"/>
      <c r="AC158" s="437"/>
      <c r="AD158" s="437"/>
      <c r="AE158" s="437"/>
      <c r="AF158" s="437"/>
      <c r="AG158" s="437"/>
      <c r="AH158" s="437"/>
      <c r="AI158" s="437"/>
      <c r="AJ158" s="437"/>
      <c r="AK158" s="437"/>
      <c r="AL158" s="437"/>
      <c r="AM158" s="437"/>
      <c r="AN158" s="437"/>
      <c r="AO158" s="437"/>
      <c r="AP158" s="437"/>
      <c r="AQ158" s="437"/>
      <c r="AR158" s="437"/>
      <c r="AS158" s="437"/>
      <c r="AT158" s="437"/>
      <c r="AU158" s="437"/>
      <c r="AV158" s="437"/>
    </row>
    <row r="159" spans="27:48" x14ac:dyDescent="0.25">
      <c r="AA159" s="437"/>
      <c r="AB159" s="437"/>
      <c r="AC159" s="437"/>
      <c r="AD159" s="437"/>
      <c r="AE159" s="437"/>
      <c r="AF159" s="437"/>
      <c r="AG159" s="437"/>
      <c r="AH159" s="437"/>
      <c r="AI159" s="437"/>
      <c r="AJ159" s="437"/>
      <c r="AK159" s="437"/>
      <c r="AL159" s="437"/>
      <c r="AM159" s="437"/>
      <c r="AN159" s="437"/>
      <c r="AO159" s="437"/>
      <c r="AP159" s="437"/>
      <c r="AQ159" s="437"/>
      <c r="AR159" s="437"/>
      <c r="AS159" s="437"/>
      <c r="AT159" s="437"/>
      <c r="AU159" s="437"/>
      <c r="AV159" s="437"/>
    </row>
    <row r="160" spans="27:48" x14ac:dyDescent="0.25">
      <c r="AA160" s="437"/>
      <c r="AB160" s="437"/>
      <c r="AC160" s="437"/>
      <c r="AD160" s="437"/>
      <c r="AE160" s="437"/>
      <c r="AF160" s="437"/>
      <c r="AG160" s="437"/>
      <c r="AH160" s="437"/>
      <c r="AI160" s="437"/>
      <c r="AJ160" s="437"/>
      <c r="AK160" s="437"/>
      <c r="AL160" s="437"/>
      <c r="AM160" s="437"/>
      <c r="AN160" s="437"/>
      <c r="AO160" s="437"/>
      <c r="AP160" s="437"/>
      <c r="AQ160" s="437"/>
      <c r="AR160" s="437"/>
      <c r="AS160" s="437"/>
      <c r="AT160" s="437"/>
      <c r="AU160" s="437"/>
      <c r="AV160" s="437"/>
    </row>
    <row r="161" spans="27:48" x14ac:dyDescent="0.25">
      <c r="AA161" s="437"/>
      <c r="AB161" s="437"/>
      <c r="AC161" s="437"/>
      <c r="AD161" s="437"/>
      <c r="AE161" s="437"/>
      <c r="AF161" s="437"/>
      <c r="AG161" s="437"/>
      <c r="AH161" s="437"/>
      <c r="AI161" s="437"/>
      <c r="AJ161" s="437"/>
      <c r="AK161" s="437"/>
      <c r="AL161" s="437"/>
      <c r="AM161" s="437"/>
      <c r="AN161" s="437"/>
      <c r="AO161" s="437"/>
      <c r="AP161" s="437"/>
      <c r="AQ161" s="437"/>
      <c r="AR161" s="437"/>
      <c r="AS161" s="437"/>
      <c r="AT161" s="437"/>
      <c r="AU161" s="437"/>
      <c r="AV161" s="437"/>
    </row>
    <row r="162" spans="27:48" x14ac:dyDescent="0.25">
      <c r="AA162" s="437"/>
      <c r="AB162" s="437"/>
      <c r="AC162" s="437"/>
      <c r="AD162" s="437"/>
      <c r="AE162" s="437"/>
      <c r="AF162" s="437"/>
      <c r="AG162" s="437"/>
      <c r="AH162" s="437"/>
      <c r="AI162" s="437"/>
      <c r="AJ162" s="437"/>
      <c r="AK162" s="437"/>
      <c r="AL162" s="437"/>
      <c r="AM162" s="437"/>
      <c r="AN162" s="437"/>
      <c r="AO162" s="437"/>
      <c r="AP162" s="437"/>
      <c r="AQ162" s="437"/>
      <c r="AR162" s="437"/>
      <c r="AS162" s="437"/>
      <c r="AT162" s="437"/>
      <c r="AU162" s="437"/>
      <c r="AV162" s="437"/>
    </row>
    <row r="163" spans="27:48" x14ac:dyDescent="0.25">
      <c r="AA163" s="437"/>
      <c r="AB163" s="437"/>
      <c r="AC163" s="437"/>
      <c r="AD163" s="437"/>
      <c r="AE163" s="437"/>
      <c r="AF163" s="437"/>
      <c r="AG163" s="437"/>
      <c r="AH163" s="437"/>
      <c r="AI163" s="437"/>
      <c r="AJ163" s="437"/>
      <c r="AK163" s="437"/>
      <c r="AL163" s="437"/>
      <c r="AM163" s="437"/>
      <c r="AN163" s="437"/>
      <c r="AO163" s="437"/>
      <c r="AP163" s="437"/>
      <c r="AQ163" s="437"/>
      <c r="AR163" s="437"/>
      <c r="AS163" s="437"/>
      <c r="AT163" s="437"/>
      <c r="AU163" s="437"/>
      <c r="AV163" s="437"/>
    </row>
    <row r="164" spans="27:48" x14ac:dyDescent="0.25">
      <c r="AA164" s="437"/>
      <c r="AB164" s="437"/>
      <c r="AC164" s="437"/>
      <c r="AD164" s="437"/>
      <c r="AE164" s="437"/>
      <c r="AF164" s="437"/>
      <c r="AG164" s="437"/>
      <c r="AH164" s="437"/>
      <c r="AI164" s="437"/>
      <c r="AJ164" s="437"/>
      <c r="AK164" s="437"/>
      <c r="AL164" s="437"/>
      <c r="AM164" s="437"/>
      <c r="AN164" s="437"/>
      <c r="AO164" s="437"/>
      <c r="AP164" s="437"/>
      <c r="AQ164" s="437"/>
      <c r="AR164" s="437"/>
      <c r="AS164" s="437"/>
      <c r="AT164" s="437"/>
      <c r="AU164" s="437"/>
      <c r="AV164" s="437"/>
    </row>
    <row r="165" spans="27:48" x14ac:dyDescent="0.25">
      <c r="AA165" s="437"/>
      <c r="AB165" s="437"/>
      <c r="AC165" s="437"/>
      <c r="AD165" s="437"/>
      <c r="AE165" s="437"/>
      <c r="AF165" s="437"/>
      <c r="AG165" s="437"/>
      <c r="AH165" s="437"/>
      <c r="AI165" s="437"/>
      <c r="AJ165" s="437"/>
      <c r="AK165" s="437"/>
      <c r="AL165" s="437"/>
      <c r="AM165" s="437"/>
      <c r="AN165" s="437"/>
      <c r="AO165" s="437"/>
      <c r="AP165" s="437"/>
      <c r="AQ165" s="437"/>
      <c r="AR165" s="437"/>
      <c r="AS165" s="437"/>
      <c r="AT165" s="437"/>
      <c r="AU165" s="437"/>
      <c r="AV165" s="437"/>
    </row>
    <row r="166" spans="27:48" x14ac:dyDescent="0.25">
      <c r="AA166" s="437"/>
      <c r="AB166" s="437"/>
      <c r="AC166" s="437"/>
      <c r="AD166" s="437"/>
      <c r="AE166" s="437"/>
      <c r="AF166" s="437"/>
      <c r="AG166" s="437"/>
      <c r="AH166" s="437"/>
      <c r="AI166" s="437"/>
      <c r="AJ166" s="437"/>
      <c r="AK166" s="437"/>
      <c r="AL166" s="437"/>
      <c r="AM166" s="437"/>
      <c r="AN166" s="437"/>
      <c r="AO166" s="437"/>
      <c r="AP166" s="437"/>
      <c r="AQ166" s="437"/>
      <c r="AR166" s="437"/>
      <c r="AS166" s="437"/>
      <c r="AT166" s="437"/>
      <c r="AU166" s="437"/>
      <c r="AV166" s="437"/>
    </row>
    <row r="167" spans="27:48" x14ac:dyDescent="0.25">
      <c r="AA167" s="437"/>
      <c r="AB167" s="437"/>
      <c r="AC167" s="437"/>
      <c r="AD167" s="437"/>
      <c r="AE167" s="437"/>
      <c r="AF167" s="437"/>
      <c r="AG167" s="437"/>
      <c r="AH167" s="437"/>
      <c r="AI167" s="437"/>
      <c r="AJ167" s="437"/>
      <c r="AK167" s="437"/>
      <c r="AL167" s="437"/>
      <c r="AM167" s="437"/>
      <c r="AN167" s="437"/>
      <c r="AO167" s="437"/>
      <c r="AP167" s="437"/>
      <c r="AQ167" s="437"/>
      <c r="AR167" s="437"/>
      <c r="AS167" s="437"/>
      <c r="AT167" s="437"/>
      <c r="AU167" s="437"/>
      <c r="AV167" s="437"/>
    </row>
    <row r="168" spans="27:48" x14ac:dyDescent="0.25">
      <c r="AA168" s="437"/>
      <c r="AB168" s="437"/>
      <c r="AC168" s="437"/>
      <c r="AD168" s="437"/>
      <c r="AE168" s="437"/>
      <c r="AF168" s="437"/>
      <c r="AG168" s="437"/>
      <c r="AH168" s="437"/>
      <c r="AI168" s="437"/>
      <c r="AJ168" s="437"/>
      <c r="AK168" s="437"/>
      <c r="AL168" s="437"/>
      <c r="AM168" s="437"/>
      <c r="AN168" s="437"/>
      <c r="AO168" s="437"/>
      <c r="AP168" s="437"/>
      <c r="AQ168" s="437"/>
      <c r="AR168" s="437"/>
      <c r="AS168" s="437"/>
      <c r="AT168" s="437"/>
      <c r="AU168" s="437"/>
      <c r="AV168" s="437"/>
    </row>
    <row r="169" spans="27:48" x14ac:dyDescent="0.25">
      <c r="AA169" s="437"/>
      <c r="AB169" s="437"/>
      <c r="AC169" s="437"/>
      <c r="AD169" s="437"/>
      <c r="AE169" s="437"/>
      <c r="AF169" s="437"/>
      <c r="AG169" s="437"/>
      <c r="AH169" s="437"/>
      <c r="AI169" s="437"/>
      <c r="AJ169" s="437"/>
      <c r="AK169" s="437"/>
      <c r="AL169" s="437"/>
      <c r="AM169" s="437"/>
      <c r="AN169" s="437"/>
      <c r="AO169" s="437"/>
      <c r="AP169" s="437"/>
      <c r="AQ169" s="437"/>
      <c r="AR169" s="437"/>
      <c r="AS169" s="437"/>
      <c r="AT169" s="437"/>
      <c r="AU169" s="437"/>
      <c r="AV169" s="437"/>
    </row>
    <row r="170" spans="27:48" x14ac:dyDescent="0.25">
      <c r="AA170" s="437"/>
      <c r="AB170" s="437"/>
      <c r="AC170" s="437"/>
      <c r="AD170" s="437"/>
      <c r="AE170" s="437"/>
      <c r="AF170" s="437"/>
      <c r="AG170" s="437"/>
      <c r="AH170" s="437"/>
      <c r="AI170" s="437"/>
      <c r="AJ170" s="437"/>
      <c r="AK170" s="437"/>
      <c r="AL170" s="437"/>
      <c r="AM170" s="437"/>
      <c r="AN170" s="437"/>
      <c r="AO170" s="437"/>
      <c r="AP170" s="437"/>
      <c r="AQ170" s="437"/>
      <c r="AR170" s="437"/>
      <c r="AS170" s="437"/>
      <c r="AT170" s="437"/>
      <c r="AU170" s="437"/>
      <c r="AV170" s="437"/>
    </row>
    <row r="171" spans="27:48" x14ac:dyDescent="0.25">
      <c r="AA171" s="437"/>
      <c r="AB171" s="437"/>
      <c r="AC171" s="437"/>
      <c r="AD171" s="437"/>
      <c r="AE171" s="437"/>
      <c r="AF171" s="437"/>
      <c r="AG171" s="437"/>
      <c r="AH171" s="437"/>
      <c r="AI171" s="437"/>
      <c r="AJ171" s="437"/>
      <c r="AK171" s="437"/>
      <c r="AL171" s="437"/>
      <c r="AM171" s="437"/>
      <c r="AN171" s="437"/>
      <c r="AO171" s="437"/>
      <c r="AP171" s="437"/>
      <c r="AQ171" s="437"/>
      <c r="AR171" s="437"/>
      <c r="AS171" s="437"/>
      <c r="AT171" s="437"/>
      <c r="AU171" s="437"/>
      <c r="AV171" s="437"/>
    </row>
    <row r="172" spans="27:48" x14ac:dyDescent="0.25">
      <c r="AA172" s="437"/>
      <c r="AB172" s="437"/>
      <c r="AC172" s="437"/>
      <c r="AD172" s="437"/>
      <c r="AE172" s="437"/>
      <c r="AF172" s="437"/>
      <c r="AG172" s="437"/>
      <c r="AH172" s="437"/>
      <c r="AI172" s="437"/>
      <c r="AJ172" s="437"/>
      <c r="AK172" s="437"/>
      <c r="AL172" s="437"/>
      <c r="AM172" s="437"/>
      <c r="AN172" s="437"/>
      <c r="AO172" s="437"/>
      <c r="AP172" s="437"/>
      <c r="AQ172" s="437"/>
      <c r="AR172" s="437"/>
      <c r="AS172" s="437"/>
      <c r="AT172" s="437"/>
      <c r="AU172" s="437"/>
      <c r="AV172" s="437"/>
    </row>
    <row r="173" spans="27:48" x14ac:dyDescent="0.25">
      <c r="AA173" s="437"/>
      <c r="AB173" s="437"/>
      <c r="AC173" s="437"/>
      <c r="AD173" s="437"/>
      <c r="AE173" s="437"/>
      <c r="AF173" s="437"/>
      <c r="AG173" s="437"/>
      <c r="AH173" s="437"/>
      <c r="AI173" s="437"/>
      <c r="AJ173" s="437"/>
      <c r="AK173" s="437"/>
      <c r="AL173" s="437"/>
      <c r="AM173" s="437"/>
      <c r="AN173" s="437"/>
      <c r="AO173" s="437"/>
      <c r="AP173" s="437"/>
      <c r="AQ173" s="437"/>
      <c r="AR173" s="437"/>
      <c r="AS173" s="437"/>
      <c r="AT173" s="437"/>
      <c r="AU173" s="437"/>
      <c r="AV173" s="437"/>
    </row>
    <row r="174" spans="27:48" x14ac:dyDescent="0.25">
      <c r="AA174" s="437"/>
      <c r="AB174" s="437"/>
      <c r="AC174" s="437"/>
      <c r="AD174" s="437"/>
      <c r="AE174" s="437"/>
      <c r="AF174" s="437"/>
      <c r="AG174" s="437"/>
      <c r="AH174" s="437"/>
      <c r="AI174" s="437"/>
      <c r="AJ174" s="437"/>
      <c r="AK174" s="437"/>
      <c r="AL174" s="437"/>
      <c r="AM174" s="437"/>
      <c r="AN174" s="437"/>
      <c r="AO174" s="437"/>
      <c r="AP174" s="437"/>
      <c r="AQ174" s="437"/>
      <c r="AR174" s="437"/>
      <c r="AS174" s="437"/>
      <c r="AT174" s="437"/>
      <c r="AU174" s="437"/>
      <c r="AV174" s="437"/>
    </row>
    <row r="175" spans="27:48" x14ac:dyDescent="0.25">
      <c r="AA175" s="437"/>
      <c r="AB175" s="437"/>
      <c r="AC175" s="437"/>
      <c r="AD175" s="437"/>
      <c r="AE175" s="437"/>
      <c r="AF175" s="437"/>
      <c r="AG175" s="437"/>
      <c r="AH175" s="437"/>
      <c r="AI175" s="437"/>
      <c r="AJ175" s="437"/>
      <c r="AK175" s="437"/>
      <c r="AL175" s="437"/>
      <c r="AM175" s="437"/>
      <c r="AN175" s="437"/>
      <c r="AO175" s="437"/>
      <c r="AP175" s="437"/>
      <c r="AQ175" s="437"/>
      <c r="AR175" s="437"/>
      <c r="AS175" s="437"/>
      <c r="AT175" s="437"/>
      <c r="AU175" s="437"/>
      <c r="AV175" s="437"/>
    </row>
    <row r="176" spans="27:48" x14ac:dyDescent="0.25">
      <c r="AA176" s="437"/>
      <c r="AB176" s="437"/>
      <c r="AC176" s="437"/>
      <c r="AD176" s="437"/>
      <c r="AE176" s="437"/>
      <c r="AF176" s="437"/>
      <c r="AG176" s="437"/>
      <c r="AH176" s="437"/>
      <c r="AI176" s="437"/>
      <c r="AJ176" s="437"/>
      <c r="AK176" s="437"/>
      <c r="AL176" s="437"/>
      <c r="AM176" s="437"/>
      <c r="AN176" s="437"/>
      <c r="AO176" s="437"/>
      <c r="AP176" s="437"/>
      <c r="AQ176" s="437"/>
      <c r="AR176" s="437"/>
      <c r="AS176" s="437"/>
      <c r="AT176" s="437"/>
      <c r="AU176" s="437"/>
      <c r="AV176" s="437"/>
    </row>
    <row r="177" spans="27:48" x14ac:dyDescent="0.25">
      <c r="AA177" s="437"/>
      <c r="AB177" s="437"/>
      <c r="AC177" s="437"/>
      <c r="AD177" s="437"/>
      <c r="AE177" s="437"/>
      <c r="AF177" s="437"/>
      <c r="AG177" s="437"/>
      <c r="AH177" s="437"/>
      <c r="AI177" s="437"/>
      <c r="AJ177" s="437"/>
      <c r="AK177" s="437"/>
      <c r="AL177" s="437"/>
      <c r="AM177" s="437"/>
      <c r="AN177" s="437"/>
      <c r="AO177" s="437"/>
      <c r="AP177" s="437"/>
      <c r="AQ177" s="437"/>
      <c r="AR177" s="437"/>
      <c r="AS177" s="437"/>
      <c r="AT177" s="437"/>
      <c r="AU177" s="437"/>
      <c r="AV177" s="437"/>
    </row>
    <row r="178" spans="27:48" x14ac:dyDescent="0.25">
      <c r="AA178" s="437"/>
      <c r="AB178" s="437"/>
      <c r="AC178" s="437"/>
      <c r="AD178" s="437"/>
      <c r="AE178" s="437"/>
      <c r="AF178" s="437"/>
      <c r="AG178" s="437"/>
      <c r="AH178" s="437"/>
      <c r="AI178" s="437"/>
      <c r="AJ178" s="437"/>
      <c r="AK178" s="437"/>
      <c r="AL178" s="437"/>
      <c r="AM178" s="437"/>
      <c r="AN178" s="437"/>
      <c r="AO178" s="437"/>
      <c r="AP178" s="437"/>
      <c r="AQ178" s="437"/>
      <c r="AR178" s="437"/>
      <c r="AS178" s="437"/>
      <c r="AT178" s="437"/>
      <c r="AU178" s="437"/>
      <c r="AV178" s="437"/>
    </row>
    <row r="179" spans="27:48" x14ac:dyDescent="0.25">
      <c r="AA179" s="437"/>
      <c r="AB179" s="437"/>
      <c r="AC179" s="437"/>
      <c r="AD179" s="437"/>
      <c r="AE179" s="437"/>
      <c r="AF179" s="437"/>
      <c r="AG179" s="437"/>
      <c r="AH179" s="437"/>
      <c r="AI179" s="437"/>
      <c r="AJ179" s="437"/>
      <c r="AK179" s="437"/>
      <c r="AL179" s="437"/>
      <c r="AM179" s="437"/>
      <c r="AN179" s="437"/>
      <c r="AO179" s="437"/>
      <c r="AP179" s="437"/>
      <c r="AQ179" s="437"/>
      <c r="AR179" s="437"/>
      <c r="AS179" s="437"/>
      <c r="AT179" s="437"/>
      <c r="AU179" s="437"/>
      <c r="AV179" s="437"/>
    </row>
    <row r="180" spans="27:48" x14ac:dyDescent="0.25">
      <c r="AA180" s="437"/>
      <c r="AB180" s="437"/>
      <c r="AC180" s="437"/>
      <c r="AD180" s="437"/>
      <c r="AE180" s="437"/>
      <c r="AF180" s="437"/>
      <c r="AG180" s="437"/>
      <c r="AH180" s="437"/>
      <c r="AI180" s="437"/>
      <c r="AJ180" s="437"/>
      <c r="AK180" s="437"/>
      <c r="AL180" s="437"/>
      <c r="AM180" s="437"/>
      <c r="AN180" s="437"/>
      <c r="AO180" s="437"/>
      <c r="AP180" s="437"/>
      <c r="AQ180" s="437"/>
      <c r="AR180" s="437"/>
      <c r="AS180" s="437"/>
      <c r="AT180" s="437"/>
      <c r="AU180" s="437"/>
      <c r="AV180" s="437"/>
    </row>
    <row r="181" spans="27:48" x14ac:dyDescent="0.25">
      <c r="AA181" s="437"/>
      <c r="AB181" s="437"/>
      <c r="AC181" s="437"/>
      <c r="AD181" s="437"/>
      <c r="AE181" s="437"/>
      <c r="AF181" s="437"/>
      <c r="AG181" s="437"/>
      <c r="AH181" s="437"/>
      <c r="AI181" s="437"/>
      <c r="AJ181" s="437"/>
      <c r="AK181" s="437"/>
      <c r="AL181" s="437"/>
      <c r="AM181" s="437"/>
      <c r="AN181" s="437"/>
      <c r="AO181" s="437"/>
      <c r="AP181" s="437"/>
      <c r="AQ181" s="437"/>
      <c r="AR181" s="437"/>
      <c r="AS181" s="437"/>
      <c r="AT181" s="437"/>
      <c r="AU181" s="437"/>
      <c r="AV181" s="437"/>
    </row>
    <row r="182" spans="27:48" x14ac:dyDescent="0.25">
      <c r="AA182" s="437"/>
      <c r="AB182" s="437"/>
      <c r="AC182" s="437"/>
      <c r="AD182" s="437"/>
      <c r="AE182" s="437"/>
      <c r="AF182" s="437"/>
      <c r="AG182" s="437"/>
      <c r="AH182" s="437"/>
      <c r="AI182" s="437"/>
      <c r="AJ182" s="437"/>
      <c r="AK182" s="437"/>
      <c r="AL182" s="437"/>
      <c r="AM182" s="437"/>
      <c r="AN182" s="437"/>
      <c r="AO182" s="437"/>
      <c r="AP182" s="437"/>
      <c r="AQ182" s="437"/>
      <c r="AR182" s="437"/>
      <c r="AS182" s="437"/>
      <c r="AT182" s="437"/>
      <c r="AU182" s="437"/>
      <c r="AV182" s="437"/>
    </row>
    <row r="183" spans="27:48" x14ac:dyDescent="0.25">
      <c r="AA183" s="437"/>
      <c r="AB183" s="437"/>
      <c r="AC183" s="437"/>
      <c r="AD183" s="437"/>
      <c r="AE183" s="437"/>
      <c r="AF183" s="437"/>
      <c r="AG183" s="437"/>
      <c r="AH183" s="437"/>
      <c r="AI183" s="437"/>
      <c r="AJ183" s="437"/>
      <c r="AK183" s="437"/>
      <c r="AL183" s="437"/>
      <c r="AM183" s="437"/>
      <c r="AN183" s="437"/>
      <c r="AO183" s="437"/>
      <c r="AP183" s="437"/>
      <c r="AQ183" s="437"/>
      <c r="AR183" s="437"/>
      <c r="AS183" s="437"/>
      <c r="AT183" s="437"/>
      <c r="AU183" s="437"/>
      <c r="AV183" s="437"/>
    </row>
    <row r="184" spans="27:48" x14ac:dyDescent="0.25">
      <c r="AA184" s="437"/>
      <c r="AB184" s="437"/>
      <c r="AC184" s="437"/>
      <c r="AD184" s="437"/>
      <c r="AE184" s="437"/>
      <c r="AF184" s="437"/>
      <c r="AG184" s="437"/>
      <c r="AH184" s="437"/>
      <c r="AI184" s="437"/>
      <c r="AJ184" s="437"/>
      <c r="AK184" s="437"/>
      <c r="AL184" s="437"/>
      <c r="AM184" s="437"/>
      <c r="AN184" s="437"/>
      <c r="AO184" s="437"/>
      <c r="AP184" s="437"/>
      <c r="AQ184" s="437"/>
      <c r="AR184" s="437"/>
      <c r="AS184" s="437"/>
      <c r="AT184" s="437"/>
      <c r="AU184" s="437"/>
      <c r="AV184" s="437"/>
    </row>
    <row r="185" spans="27:48" x14ac:dyDescent="0.25">
      <c r="AA185" s="437"/>
      <c r="AB185" s="437"/>
      <c r="AC185" s="437"/>
      <c r="AD185" s="437"/>
      <c r="AE185" s="437"/>
      <c r="AF185" s="437"/>
      <c r="AG185" s="437"/>
      <c r="AH185" s="437"/>
      <c r="AI185" s="437"/>
      <c r="AJ185" s="437"/>
      <c r="AK185" s="437"/>
      <c r="AL185" s="437"/>
      <c r="AM185" s="437"/>
      <c r="AN185" s="437"/>
      <c r="AO185" s="437"/>
      <c r="AP185" s="437"/>
      <c r="AQ185" s="437"/>
      <c r="AR185" s="437"/>
      <c r="AS185" s="437"/>
      <c r="AT185" s="437"/>
      <c r="AU185" s="437"/>
      <c r="AV185" s="437"/>
    </row>
    <row r="186" spans="27:48" x14ac:dyDescent="0.25">
      <c r="AA186" s="437"/>
      <c r="AB186" s="437"/>
      <c r="AC186" s="437"/>
      <c r="AD186" s="437"/>
      <c r="AE186" s="437"/>
      <c r="AF186" s="437"/>
      <c r="AG186" s="437"/>
      <c r="AH186" s="437"/>
      <c r="AI186" s="437"/>
      <c r="AJ186" s="437"/>
      <c r="AK186" s="437"/>
      <c r="AL186" s="437"/>
      <c r="AM186" s="437"/>
      <c r="AN186" s="437"/>
      <c r="AO186" s="437"/>
      <c r="AP186" s="437"/>
      <c r="AQ186" s="437"/>
      <c r="AR186" s="437"/>
      <c r="AS186" s="437"/>
      <c r="AT186" s="437"/>
      <c r="AU186" s="437"/>
      <c r="AV186" s="437"/>
    </row>
    <row r="187" spans="27:48" x14ac:dyDescent="0.25">
      <c r="AA187" s="437"/>
      <c r="AB187" s="437"/>
      <c r="AC187" s="437"/>
      <c r="AD187" s="437"/>
      <c r="AE187" s="437"/>
      <c r="AF187" s="437"/>
      <c r="AG187" s="437"/>
      <c r="AH187" s="437"/>
      <c r="AI187" s="437"/>
      <c r="AJ187" s="437"/>
      <c r="AK187" s="437"/>
      <c r="AL187" s="437"/>
      <c r="AM187" s="437"/>
      <c r="AN187" s="437"/>
      <c r="AO187" s="437"/>
      <c r="AP187" s="437"/>
      <c r="AQ187" s="437"/>
      <c r="AR187" s="437"/>
      <c r="AS187" s="437"/>
      <c r="AT187" s="437"/>
      <c r="AU187" s="437"/>
      <c r="AV187" s="437"/>
    </row>
    <row r="188" spans="27:48" x14ac:dyDescent="0.25">
      <c r="AA188" s="437"/>
      <c r="AB188" s="437"/>
      <c r="AC188" s="437"/>
      <c r="AD188" s="437"/>
      <c r="AE188" s="437"/>
      <c r="AF188" s="437"/>
      <c r="AG188" s="437"/>
      <c r="AH188" s="437"/>
      <c r="AI188" s="437"/>
      <c r="AJ188" s="437"/>
      <c r="AK188" s="437"/>
      <c r="AL188" s="437"/>
      <c r="AM188" s="437"/>
      <c r="AN188" s="437"/>
      <c r="AO188" s="437"/>
      <c r="AP188" s="437"/>
      <c r="AQ188" s="437"/>
      <c r="AR188" s="437"/>
      <c r="AS188" s="437"/>
      <c r="AT188" s="437"/>
      <c r="AU188" s="437"/>
      <c r="AV188" s="437"/>
    </row>
    <row r="189" spans="27:48" x14ac:dyDescent="0.25">
      <c r="AA189" s="437"/>
      <c r="AB189" s="437"/>
      <c r="AC189" s="437"/>
      <c r="AD189" s="437"/>
      <c r="AE189" s="437"/>
      <c r="AF189" s="437"/>
      <c r="AG189" s="437"/>
      <c r="AH189" s="437"/>
      <c r="AI189" s="437"/>
      <c r="AJ189" s="437"/>
      <c r="AK189" s="437"/>
      <c r="AL189" s="437"/>
      <c r="AM189" s="437"/>
      <c r="AN189" s="437"/>
      <c r="AO189" s="437"/>
      <c r="AP189" s="437"/>
      <c r="AQ189" s="437"/>
      <c r="AR189" s="437"/>
      <c r="AS189" s="437"/>
      <c r="AT189" s="437"/>
      <c r="AU189" s="437"/>
      <c r="AV189" s="437"/>
    </row>
    <row r="190" spans="27:48" x14ac:dyDescent="0.25">
      <c r="AA190" s="437"/>
      <c r="AB190" s="437"/>
      <c r="AC190" s="437"/>
      <c r="AD190" s="437"/>
      <c r="AE190" s="437"/>
      <c r="AF190" s="437"/>
      <c r="AG190" s="437"/>
      <c r="AH190" s="437"/>
      <c r="AI190" s="437"/>
      <c r="AJ190" s="437"/>
      <c r="AK190" s="437"/>
      <c r="AL190" s="437"/>
      <c r="AM190" s="437"/>
      <c r="AN190" s="437"/>
      <c r="AO190" s="437"/>
      <c r="AP190" s="437"/>
      <c r="AQ190" s="437"/>
      <c r="AR190" s="437"/>
      <c r="AS190" s="437"/>
      <c r="AT190" s="437"/>
      <c r="AU190" s="437"/>
      <c r="AV190" s="437"/>
    </row>
    <row r="191" spans="27:48" x14ac:dyDescent="0.25">
      <c r="AA191" s="437"/>
      <c r="AB191" s="437"/>
      <c r="AC191" s="437"/>
      <c r="AD191" s="437"/>
      <c r="AE191" s="437"/>
      <c r="AF191" s="437"/>
      <c r="AG191" s="437"/>
      <c r="AH191" s="437"/>
      <c r="AI191" s="437"/>
      <c r="AJ191" s="437"/>
      <c r="AK191" s="437"/>
      <c r="AL191" s="437"/>
      <c r="AM191" s="437"/>
      <c r="AN191" s="437"/>
      <c r="AO191" s="437"/>
      <c r="AP191" s="437"/>
      <c r="AQ191" s="437"/>
      <c r="AR191" s="437"/>
      <c r="AS191" s="437"/>
      <c r="AT191" s="437"/>
      <c r="AU191" s="437"/>
      <c r="AV191" s="437"/>
    </row>
    <row r="192" spans="27:48" x14ac:dyDescent="0.25">
      <c r="AA192" s="437"/>
      <c r="AB192" s="437"/>
      <c r="AC192" s="437"/>
      <c r="AD192" s="437"/>
      <c r="AE192" s="437"/>
      <c r="AF192" s="437"/>
      <c r="AG192" s="437"/>
      <c r="AH192" s="437"/>
      <c r="AI192" s="437"/>
      <c r="AJ192" s="437"/>
      <c r="AK192" s="437"/>
      <c r="AL192" s="437"/>
      <c r="AM192" s="437"/>
      <c r="AN192" s="437"/>
      <c r="AO192" s="437"/>
      <c r="AP192" s="437"/>
      <c r="AQ192" s="437"/>
      <c r="AR192" s="437"/>
      <c r="AS192" s="437"/>
      <c r="AT192" s="437"/>
      <c r="AU192" s="437"/>
      <c r="AV192" s="437"/>
    </row>
    <row r="193" spans="27:48" x14ac:dyDescent="0.25">
      <c r="AA193" s="437"/>
      <c r="AB193" s="437"/>
      <c r="AC193" s="437"/>
      <c r="AD193" s="437"/>
      <c r="AE193" s="437"/>
      <c r="AF193" s="437"/>
      <c r="AG193" s="437"/>
      <c r="AH193" s="437"/>
      <c r="AI193" s="437"/>
      <c r="AJ193" s="437"/>
      <c r="AK193" s="437"/>
      <c r="AL193" s="437"/>
      <c r="AM193" s="437"/>
      <c r="AN193" s="437"/>
      <c r="AO193" s="437"/>
      <c r="AP193" s="437"/>
      <c r="AQ193" s="437"/>
      <c r="AR193" s="437"/>
      <c r="AS193" s="437"/>
      <c r="AT193" s="437"/>
      <c r="AU193" s="437"/>
      <c r="AV193" s="437"/>
    </row>
    <row r="194" spans="27:48" x14ac:dyDescent="0.25">
      <c r="AA194" s="437"/>
      <c r="AB194" s="437"/>
      <c r="AC194" s="437"/>
      <c r="AD194" s="437"/>
      <c r="AE194" s="437"/>
      <c r="AF194" s="437"/>
      <c r="AG194" s="437"/>
      <c r="AH194" s="437"/>
      <c r="AI194" s="437"/>
      <c r="AJ194" s="437"/>
      <c r="AK194" s="437"/>
      <c r="AL194" s="437"/>
      <c r="AM194" s="437"/>
      <c r="AN194" s="437"/>
      <c r="AO194" s="437"/>
      <c r="AP194" s="437"/>
      <c r="AQ194" s="437"/>
      <c r="AR194" s="437"/>
      <c r="AS194" s="437"/>
      <c r="AT194" s="437"/>
      <c r="AU194" s="437"/>
      <c r="AV194" s="437"/>
    </row>
    <row r="195" spans="27:48" x14ac:dyDescent="0.25">
      <c r="AA195" s="437"/>
      <c r="AB195" s="437"/>
      <c r="AC195" s="437"/>
      <c r="AD195" s="437"/>
      <c r="AE195" s="437"/>
      <c r="AF195" s="437"/>
      <c r="AG195" s="437"/>
      <c r="AH195" s="437"/>
      <c r="AI195" s="437"/>
      <c r="AJ195" s="437"/>
      <c r="AK195" s="437"/>
      <c r="AL195" s="437"/>
      <c r="AM195" s="437"/>
      <c r="AN195" s="437"/>
      <c r="AO195" s="437"/>
      <c r="AP195" s="437"/>
      <c r="AQ195" s="437"/>
      <c r="AR195" s="437"/>
      <c r="AS195" s="437"/>
      <c r="AT195" s="437"/>
      <c r="AU195" s="437"/>
      <c r="AV195" s="437"/>
    </row>
    <row r="196" spans="27:48" x14ac:dyDescent="0.25">
      <c r="AA196" s="437"/>
      <c r="AB196" s="437"/>
      <c r="AC196" s="437"/>
      <c r="AD196" s="437"/>
      <c r="AE196" s="437"/>
      <c r="AF196" s="437"/>
      <c r="AG196" s="437"/>
      <c r="AH196" s="437"/>
      <c r="AI196" s="437"/>
      <c r="AJ196" s="437"/>
      <c r="AK196" s="437"/>
      <c r="AL196" s="437"/>
      <c r="AM196" s="437"/>
      <c r="AN196" s="437"/>
      <c r="AO196" s="437"/>
      <c r="AP196" s="437"/>
      <c r="AQ196" s="437"/>
      <c r="AR196" s="437"/>
      <c r="AS196" s="437"/>
      <c r="AT196" s="437"/>
      <c r="AU196" s="437"/>
      <c r="AV196" s="437"/>
    </row>
    <row r="197" spans="27:48" x14ac:dyDescent="0.25">
      <c r="AA197" s="437"/>
      <c r="AB197" s="437"/>
      <c r="AC197" s="437"/>
      <c r="AD197" s="437"/>
      <c r="AE197" s="437"/>
      <c r="AF197" s="437"/>
      <c r="AG197" s="437"/>
      <c r="AH197" s="437"/>
      <c r="AI197" s="437"/>
      <c r="AJ197" s="437"/>
      <c r="AK197" s="437"/>
      <c r="AL197" s="437"/>
      <c r="AM197" s="437"/>
      <c r="AN197" s="437"/>
      <c r="AO197" s="437"/>
      <c r="AP197" s="437"/>
      <c r="AQ197" s="437"/>
      <c r="AR197" s="437"/>
      <c r="AS197" s="437"/>
      <c r="AT197" s="437"/>
      <c r="AU197" s="437"/>
      <c r="AV197" s="437"/>
    </row>
    <row r="198" spans="27:48" x14ac:dyDescent="0.25">
      <c r="AA198" s="437"/>
      <c r="AB198" s="437"/>
      <c r="AC198" s="437"/>
      <c r="AD198" s="437"/>
      <c r="AE198" s="437"/>
      <c r="AF198" s="437"/>
      <c r="AG198" s="437"/>
      <c r="AH198" s="437"/>
      <c r="AI198" s="437"/>
      <c r="AJ198" s="437"/>
      <c r="AK198" s="437"/>
      <c r="AL198" s="437"/>
      <c r="AM198" s="437"/>
      <c r="AN198" s="437"/>
      <c r="AO198" s="437"/>
      <c r="AP198" s="437"/>
      <c r="AQ198" s="437"/>
      <c r="AR198" s="437"/>
      <c r="AS198" s="437"/>
      <c r="AT198" s="437"/>
      <c r="AU198" s="437"/>
      <c r="AV198" s="437"/>
    </row>
    <row r="199" spans="27:48" x14ac:dyDescent="0.25">
      <c r="AA199" s="437"/>
      <c r="AB199" s="437"/>
      <c r="AC199" s="437"/>
      <c r="AD199" s="437"/>
      <c r="AE199" s="437"/>
      <c r="AF199" s="437"/>
      <c r="AG199" s="437"/>
      <c r="AH199" s="437"/>
      <c r="AI199" s="437"/>
      <c r="AJ199" s="437"/>
      <c r="AK199" s="437"/>
      <c r="AL199" s="437"/>
      <c r="AM199" s="437"/>
      <c r="AN199" s="437"/>
      <c r="AO199" s="437"/>
      <c r="AP199" s="437"/>
      <c r="AQ199" s="437"/>
      <c r="AR199" s="437"/>
      <c r="AS199" s="437"/>
      <c r="AT199" s="437"/>
      <c r="AU199" s="437"/>
      <c r="AV199" s="437"/>
    </row>
    <row r="200" spans="27:48" x14ac:dyDescent="0.25">
      <c r="AA200" s="437"/>
      <c r="AB200" s="437"/>
      <c r="AC200" s="437"/>
      <c r="AD200" s="437"/>
      <c r="AE200" s="437"/>
      <c r="AF200" s="437"/>
      <c r="AG200" s="437"/>
      <c r="AH200" s="437"/>
      <c r="AI200" s="437"/>
      <c r="AJ200" s="437"/>
      <c r="AK200" s="437"/>
      <c r="AL200" s="437"/>
      <c r="AM200" s="437"/>
      <c r="AN200" s="437"/>
      <c r="AO200" s="437"/>
      <c r="AP200" s="437"/>
      <c r="AQ200" s="437"/>
      <c r="AR200" s="437"/>
      <c r="AS200" s="437"/>
      <c r="AT200" s="437"/>
      <c r="AU200" s="437"/>
      <c r="AV200" s="437"/>
    </row>
    <row r="201" spans="27:48" x14ac:dyDescent="0.25">
      <c r="AA201" s="437"/>
      <c r="AB201" s="437"/>
      <c r="AC201" s="437"/>
      <c r="AD201" s="437"/>
      <c r="AE201" s="437"/>
      <c r="AF201" s="437"/>
      <c r="AG201" s="437"/>
      <c r="AH201" s="437"/>
      <c r="AI201" s="437"/>
      <c r="AJ201" s="437"/>
      <c r="AK201" s="437"/>
      <c r="AL201" s="437"/>
      <c r="AM201" s="437"/>
      <c r="AN201" s="437"/>
      <c r="AO201" s="437"/>
      <c r="AP201" s="437"/>
      <c r="AQ201" s="437"/>
      <c r="AR201" s="437"/>
      <c r="AS201" s="437"/>
      <c r="AT201" s="437"/>
      <c r="AU201" s="437"/>
      <c r="AV201" s="437"/>
    </row>
    <row r="202" spans="27:48" x14ac:dyDescent="0.25">
      <c r="AA202" s="437"/>
      <c r="AB202" s="437"/>
      <c r="AC202" s="437"/>
      <c r="AD202" s="437"/>
      <c r="AE202" s="437"/>
      <c r="AF202" s="437"/>
      <c r="AG202" s="437"/>
      <c r="AH202" s="437"/>
      <c r="AI202" s="437"/>
      <c r="AJ202" s="437"/>
      <c r="AK202" s="437"/>
      <c r="AL202" s="437"/>
      <c r="AM202" s="437"/>
      <c r="AN202" s="437"/>
      <c r="AO202" s="437"/>
      <c r="AP202" s="437"/>
      <c r="AQ202" s="437"/>
      <c r="AR202" s="437"/>
      <c r="AS202" s="437"/>
      <c r="AT202" s="437"/>
      <c r="AU202" s="437"/>
      <c r="AV202" s="437"/>
    </row>
    <row r="203" spans="27:48" x14ac:dyDescent="0.25">
      <c r="AA203" s="437"/>
      <c r="AB203" s="437"/>
      <c r="AC203" s="437"/>
      <c r="AD203" s="437"/>
      <c r="AE203" s="437"/>
      <c r="AF203" s="437"/>
      <c r="AG203" s="437"/>
      <c r="AH203" s="437"/>
      <c r="AI203" s="437"/>
      <c r="AJ203" s="437"/>
      <c r="AK203" s="437"/>
      <c r="AL203" s="437"/>
      <c r="AM203" s="437"/>
      <c r="AN203" s="437"/>
      <c r="AO203" s="437"/>
      <c r="AP203" s="437"/>
      <c r="AQ203" s="437"/>
      <c r="AR203" s="437"/>
      <c r="AS203" s="437"/>
      <c r="AT203" s="437"/>
      <c r="AU203" s="437"/>
      <c r="AV203" s="437"/>
    </row>
    <row r="204" spans="27:48" x14ac:dyDescent="0.25">
      <c r="AA204" s="437"/>
      <c r="AB204" s="437"/>
      <c r="AC204" s="437"/>
      <c r="AD204" s="437"/>
      <c r="AE204" s="437"/>
      <c r="AF204" s="437"/>
      <c r="AG204" s="437"/>
      <c r="AH204" s="437"/>
      <c r="AI204" s="437"/>
      <c r="AJ204" s="437"/>
      <c r="AK204" s="437"/>
      <c r="AL204" s="437"/>
      <c r="AM204" s="437"/>
      <c r="AN204" s="437"/>
      <c r="AO204" s="437"/>
      <c r="AP204" s="437"/>
      <c r="AQ204" s="437"/>
      <c r="AR204" s="437"/>
      <c r="AS204" s="437"/>
      <c r="AT204" s="437"/>
      <c r="AU204" s="437"/>
      <c r="AV204" s="437"/>
    </row>
    <row r="205" spans="27:48" x14ac:dyDescent="0.25">
      <c r="AA205" s="437"/>
      <c r="AB205" s="437"/>
      <c r="AC205" s="437"/>
      <c r="AD205" s="437"/>
      <c r="AE205" s="437"/>
      <c r="AF205" s="437"/>
      <c r="AG205" s="437"/>
      <c r="AH205" s="437"/>
      <c r="AI205" s="437"/>
      <c r="AJ205" s="437"/>
      <c r="AK205" s="437"/>
      <c r="AL205" s="437"/>
      <c r="AM205" s="437"/>
      <c r="AN205" s="437"/>
      <c r="AO205" s="437"/>
      <c r="AP205" s="437"/>
      <c r="AQ205" s="437"/>
      <c r="AR205" s="437"/>
      <c r="AS205" s="437"/>
      <c r="AT205" s="437"/>
      <c r="AU205" s="437"/>
      <c r="AV205" s="437"/>
    </row>
    <row r="206" spans="27:48" x14ac:dyDescent="0.25">
      <c r="AA206" s="437"/>
      <c r="AB206" s="437"/>
      <c r="AC206" s="437"/>
      <c r="AD206" s="437"/>
      <c r="AE206" s="437"/>
      <c r="AF206" s="437"/>
      <c r="AG206" s="437"/>
      <c r="AH206" s="437"/>
      <c r="AI206" s="437"/>
      <c r="AJ206" s="437"/>
      <c r="AK206" s="437"/>
      <c r="AL206" s="437"/>
      <c r="AM206" s="437"/>
      <c r="AN206" s="437"/>
      <c r="AO206" s="437"/>
      <c r="AP206" s="437"/>
      <c r="AQ206" s="437"/>
      <c r="AR206" s="437"/>
      <c r="AS206" s="437"/>
      <c r="AT206" s="437"/>
      <c r="AU206" s="437"/>
      <c r="AV206" s="437"/>
    </row>
    <row r="207" spans="27:48" x14ac:dyDescent="0.25">
      <c r="AA207" s="437"/>
      <c r="AB207" s="437"/>
      <c r="AC207" s="437"/>
      <c r="AD207" s="437"/>
      <c r="AE207" s="437"/>
      <c r="AF207" s="437"/>
      <c r="AG207" s="437"/>
      <c r="AH207" s="437"/>
      <c r="AI207" s="437"/>
      <c r="AJ207" s="437"/>
      <c r="AK207" s="437"/>
      <c r="AL207" s="437"/>
      <c r="AM207" s="437"/>
      <c r="AN207" s="437"/>
      <c r="AO207" s="437"/>
      <c r="AP207" s="437"/>
      <c r="AQ207" s="437"/>
      <c r="AR207" s="437"/>
      <c r="AS207" s="437"/>
      <c r="AT207" s="437"/>
      <c r="AU207" s="437"/>
      <c r="AV207" s="437"/>
    </row>
    <row r="208" spans="27:48" x14ac:dyDescent="0.25">
      <c r="AA208" s="437"/>
      <c r="AB208" s="437"/>
      <c r="AC208" s="437"/>
      <c r="AD208" s="437"/>
      <c r="AE208" s="437"/>
      <c r="AF208" s="437"/>
      <c r="AG208" s="437"/>
      <c r="AH208" s="437"/>
      <c r="AI208" s="437"/>
      <c r="AJ208" s="437"/>
      <c r="AK208" s="437"/>
      <c r="AL208" s="437"/>
      <c r="AM208" s="437"/>
      <c r="AN208" s="437"/>
      <c r="AO208" s="437"/>
      <c r="AP208" s="437"/>
      <c r="AQ208" s="437"/>
      <c r="AR208" s="437"/>
      <c r="AS208" s="437"/>
      <c r="AT208" s="437"/>
      <c r="AU208" s="437"/>
      <c r="AV208" s="437"/>
    </row>
    <row r="209" spans="27:48" x14ac:dyDescent="0.25">
      <c r="AA209" s="437"/>
      <c r="AB209" s="437"/>
      <c r="AC209" s="437"/>
      <c r="AD209" s="437"/>
      <c r="AE209" s="437"/>
      <c r="AF209" s="437"/>
      <c r="AG209" s="437"/>
      <c r="AH209" s="437"/>
      <c r="AI209" s="437"/>
      <c r="AJ209" s="437"/>
      <c r="AK209" s="437"/>
      <c r="AL209" s="437"/>
      <c r="AM209" s="437"/>
      <c r="AN209" s="437"/>
      <c r="AO209" s="437"/>
      <c r="AP209" s="437"/>
      <c r="AQ209" s="437"/>
      <c r="AR209" s="437"/>
      <c r="AS209" s="437"/>
      <c r="AT209" s="437"/>
      <c r="AU209" s="437"/>
      <c r="AV209" s="437"/>
    </row>
    <row r="210" spans="27:48" x14ac:dyDescent="0.25">
      <c r="AA210" s="437"/>
      <c r="AB210" s="437"/>
      <c r="AC210" s="437"/>
      <c r="AD210" s="437"/>
      <c r="AE210" s="437"/>
      <c r="AF210" s="437"/>
      <c r="AG210" s="437"/>
      <c r="AH210" s="437"/>
      <c r="AI210" s="437"/>
      <c r="AJ210" s="437"/>
      <c r="AK210" s="437"/>
      <c r="AL210" s="437"/>
      <c r="AM210" s="437"/>
      <c r="AN210" s="437"/>
      <c r="AO210" s="437"/>
      <c r="AP210" s="437"/>
      <c r="AQ210" s="437"/>
      <c r="AR210" s="437"/>
      <c r="AS210" s="437"/>
      <c r="AT210" s="437"/>
      <c r="AU210" s="437"/>
      <c r="AV210" s="437"/>
    </row>
    <row r="211" spans="27:48" x14ac:dyDescent="0.25">
      <c r="AA211" s="437"/>
      <c r="AB211" s="437"/>
      <c r="AC211" s="437"/>
      <c r="AD211" s="437"/>
      <c r="AE211" s="437"/>
      <c r="AF211" s="437"/>
      <c r="AG211" s="437"/>
      <c r="AH211" s="437"/>
      <c r="AI211" s="437"/>
      <c r="AJ211" s="437"/>
      <c r="AK211" s="437"/>
      <c r="AL211" s="437"/>
      <c r="AM211" s="437"/>
      <c r="AN211" s="437"/>
      <c r="AO211" s="437"/>
      <c r="AP211" s="437"/>
      <c r="AQ211" s="437"/>
      <c r="AR211" s="437"/>
      <c r="AS211" s="437"/>
      <c r="AT211" s="437"/>
      <c r="AU211" s="437"/>
      <c r="AV211" s="437"/>
    </row>
    <row r="212" spans="27:48" x14ac:dyDescent="0.25">
      <c r="AA212" s="437"/>
      <c r="AB212" s="437"/>
      <c r="AC212" s="437"/>
      <c r="AD212" s="437"/>
      <c r="AE212" s="437"/>
      <c r="AF212" s="437"/>
      <c r="AG212" s="437"/>
      <c r="AH212" s="437"/>
      <c r="AI212" s="437"/>
      <c r="AJ212" s="437"/>
      <c r="AK212" s="437"/>
      <c r="AL212" s="437"/>
      <c r="AM212" s="437"/>
      <c r="AN212" s="437"/>
      <c r="AO212" s="437"/>
      <c r="AP212" s="437"/>
      <c r="AQ212" s="437"/>
      <c r="AR212" s="437"/>
      <c r="AS212" s="437"/>
      <c r="AT212" s="437"/>
      <c r="AU212" s="437"/>
      <c r="AV212" s="437"/>
    </row>
    <row r="213" spans="27:48" x14ac:dyDescent="0.25">
      <c r="AA213" s="437"/>
      <c r="AB213" s="437"/>
      <c r="AC213" s="437"/>
      <c r="AD213" s="437"/>
      <c r="AE213" s="437"/>
      <c r="AF213" s="437"/>
      <c r="AG213" s="437"/>
      <c r="AH213" s="437"/>
      <c r="AI213" s="437"/>
      <c r="AJ213" s="437"/>
      <c r="AK213" s="437"/>
      <c r="AL213" s="437"/>
      <c r="AM213" s="437"/>
      <c r="AN213" s="437"/>
      <c r="AO213" s="437"/>
      <c r="AP213" s="437"/>
      <c r="AQ213" s="437"/>
      <c r="AR213" s="437"/>
      <c r="AS213" s="437"/>
      <c r="AT213" s="437"/>
      <c r="AU213" s="437"/>
      <c r="AV213" s="437"/>
    </row>
    <row r="214" spans="27:48" x14ac:dyDescent="0.25">
      <c r="AA214" s="437"/>
      <c r="AB214" s="437"/>
      <c r="AC214" s="437"/>
      <c r="AD214" s="437"/>
      <c r="AE214" s="437"/>
      <c r="AF214" s="437"/>
      <c r="AG214" s="437"/>
      <c r="AH214" s="437"/>
      <c r="AI214" s="437"/>
      <c r="AJ214" s="437"/>
      <c r="AK214" s="437"/>
      <c r="AL214" s="437"/>
      <c r="AM214" s="437"/>
      <c r="AN214" s="437"/>
      <c r="AO214" s="437"/>
      <c r="AP214" s="437"/>
      <c r="AQ214" s="437"/>
      <c r="AR214" s="437"/>
      <c r="AS214" s="437"/>
      <c r="AT214" s="437"/>
      <c r="AU214" s="437"/>
      <c r="AV214" s="437"/>
    </row>
    <row r="215" spans="27:48" x14ac:dyDescent="0.25">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row>
    <row r="216" spans="27:48" x14ac:dyDescent="0.25">
      <c r="AA216" s="437"/>
      <c r="AB216" s="437"/>
      <c r="AC216" s="437"/>
      <c r="AD216" s="437"/>
      <c r="AE216" s="437"/>
      <c r="AF216" s="437"/>
      <c r="AG216" s="437"/>
      <c r="AH216" s="437"/>
      <c r="AI216" s="437"/>
      <c r="AJ216" s="437"/>
      <c r="AK216" s="437"/>
      <c r="AL216" s="437"/>
      <c r="AM216" s="437"/>
      <c r="AN216" s="437"/>
      <c r="AO216" s="437"/>
      <c r="AP216" s="437"/>
      <c r="AQ216" s="437"/>
      <c r="AR216" s="437"/>
      <c r="AS216" s="437"/>
      <c r="AT216" s="437"/>
      <c r="AU216" s="437"/>
      <c r="AV216" s="437"/>
    </row>
    <row r="217" spans="27:48" x14ac:dyDescent="0.25">
      <c r="AA217" s="437"/>
      <c r="AB217" s="437"/>
      <c r="AC217" s="437"/>
      <c r="AD217" s="437"/>
      <c r="AE217" s="437"/>
      <c r="AF217" s="437"/>
      <c r="AG217" s="437"/>
      <c r="AH217" s="437"/>
      <c r="AI217" s="437"/>
      <c r="AJ217" s="437"/>
      <c r="AK217" s="437"/>
      <c r="AL217" s="437"/>
      <c r="AM217" s="437"/>
      <c r="AN217" s="437"/>
      <c r="AO217" s="437"/>
      <c r="AP217" s="437"/>
      <c r="AQ217" s="437"/>
      <c r="AR217" s="437"/>
      <c r="AS217" s="437"/>
      <c r="AT217" s="437"/>
      <c r="AU217" s="437"/>
      <c r="AV217" s="437"/>
    </row>
    <row r="218" spans="27:48" x14ac:dyDescent="0.25">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row>
    <row r="219" spans="27:48" x14ac:dyDescent="0.25">
      <c r="AA219" s="437"/>
      <c r="AB219" s="437"/>
      <c r="AC219" s="437"/>
      <c r="AD219" s="437"/>
      <c r="AE219" s="437"/>
      <c r="AF219" s="437"/>
      <c r="AG219" s="437"/>
      <c r="AH219" s="437"/>
      <c r="AI219" s="437"/>
      <c r="AJ219" s="437"/>
      <c r="AK219" s="437"/>
      <c r="AL219" s="437"/>
      <c r="AM219" s="437"/>
      <c r="AN219" s="437"/>
      <c r="AO219" s="437"/>
      <c r="AP219" s="437"/>
      <c r="AQ219" s="437"/>
      <c r="AR219" s="437"/>
      <c r="AS219" s="437"/>
      <c r="AT219" s="437"/>
      <c r="AU219" s="437"/>
      <c r="AV219" s="437"/>
    </row>
    <row r="220" spans="27:48" x14ac:dyDescent="0.25">
      <c r="AA220" s="437"/>
      <c r="AB220" s="437"/>
      <c r="AC220" s="437"/>
      <c r="AD220" s="437"/>
      <c r="AE220" s="437"/>
      <c r="AF220" s="437"/>
      <c r="AG220" s="437"/>
      <c r="AH220" s="437"/>
      <c r="AI220" s="437"/>
      <c r="AJ220" s="437"/>
      <c r="AK220" s="437"/>
      <c r="AL220" s="437"/>
      <c r="AM220" s="437"/>
      <c r="AN220" s="437"/>
      <c r="AO220" s="437"/>
      <c r="AP220" s="437"/>
      <c r="AQ220" s="437"/>
      <c r="AR220" s="437"/>
      <c r="AS220" s="437"/>
      <c r="AT220" s="437"/>
      <c r="AU220" s="437"/>
      <c r="AV220" s="437"/>
    </row>
    <row r="221" spans="27:48" x14ac:dyDescent="0.25">
      <c r="AA221" s="437"/>
      <c r="AB221" s="437"/>
      <c r="AC221" s="437"/>
      <c r="AD221" s="437"/>
      <c r="AE221" s="437"/>
      <c r="AF221" s="437"/>
      <c r="AG221" s="437"/>
      <c r="AH221" s="437"/>
      <c r="AI221" s="437"/>
      <c r="AJ221" s="437"/>
      <c r="AK221" s="437"/>
      <c r="AL221" s="437"/>
      <c r="AM221" s="437"/>
      <c r="AN221" s="437"/>
      <c r="AO221" s="437"/>
      <c r="AP221" s="437"/>
      <c r="AQ221" s="437"/>
      <c r="AR221" s="437"/>
      <c r="AS221" s="437"/>
      <c r="AT221" s="437"/>
      <c r="AU221" s="437"/>
      <c r="AV221" s="437"/>
    </row>
    <row r="222" spans="27:48" x14ac:dyDescent="0.25">
      <c r="AA222" s="437"/>
      <c r="AB222" s="437"/>
      <c r="AC222" s="437"/>
      <c r="AD222" s="437"/>
      <c r="AE222" s="437"/>
      <c r="AF222" s="437"/>
      <c r="AG222" s="437"/>
      <c r="AH222" s="437"/>
      <c r="AI222" s="437"/>
      <c r="AJ222" s="437"/>
      <c r="AK222" s="437"/>
      <c r="AL222" s="437"/>
      <c r="AM222" s="437"/>
      <c r="AN222" s="437"/>
      <c r="AO222" s="437"/>
      <c r="AP222" s="437"/>
      <c r="AQ222" s="437"/>
      <c r="AR222" s="437"/>
      <c r="AS222" s="437"/>
      <c r="AT222" s="437"/>
      <c r="AU222" s="437"/>
      <c r="AV222" s="437"/>
    </row>
    <row r="223" spans="27:48" x14ac:dyDescent="0.25">
      <c r="AA223" s="437"/>
      <c r="AB223" s="437"/>
      <c r="AC223" s="437"/>
      <c r="AD223" s="437"/>
      <c r="AE223" s="437"/>
      <c r="AF223" s="437"/>
      <c r="AG223" s="437"/>
      <c r="AH223" s="437"/>
      <c r="AI223" s="437"/>
      <c r="AJ223" s="437"/>
      <c r="AK223" s="437"/>
      <c r="AL223" s="437"/>
      <c r="AM223" s="437"/>
      <c r="AN223" s="437"/>
      <c r="AO223" s="437"/>
      <c r="AP223" s="437"/>
      <c r="AQ223" s="437"/>
      <c r="AR223" s="437"/>
      <c r="AS223" s="437"/>
      <c r="AT223" s="437"/>
      <c r="AU223" s="437"/>
      <c r="AV223" s="437"/>
    </row>
    <row r="224" spans="27:48" x14ac:dyDescent="0.25">
      <c r="AA224" s="437"/>
      <c r="AB224" s="437"/>
      <c r="AC224" s="437"/>
      <c r="AD224" s="437"/>
      <c r="AE224" s="437"/>
      <c r="AF224" s="437"/>
      <c r="AG224" s="437"/>
      <c r="AH224" s="437"/>
      <c r="AI224" s="437"/>
      <c r="AJ224" s="437"/>
      <c r="AK224" s="437"/>
      <c r="AL224" s="437"/>
      <c r="AM224" s="437"/>
      <c r="AN224" s="437"/>
      <c r="AO224" s="437"/>
      <c r="AP224" s="437"/>
      <c r="AQ224" s="437"/>
      <c r="AR224" s="437"/>
      <c r="AS224" s="437"/>
      <c r="AT224" s="437"/>
      <c r="AU224" s="437"/>
      <c r="AV224" s="437"/>
    </row>
    <row r="225" spans="27:48" x14ac:dyDescent="0.25">
      <c r="AA225" s="437"/>
      <c r="AB225" s="437"/>
      <c r="AC225" s="437"/>
      <c r="AD225" s="437"/>
      <c r="AE225" s="437"/>
      <c r="AF225" s="437"/>
      <c r="AG225" s="437"/>
      <c r="AH225" s="437"/>
      <c r="AI225" s="437"/>
      <c r="AJ225" s="437"/>
      <c r="AK225" s="437"/>
      <c r="AL225" s="437"/>
      <c r="AM225" s="437"/>
      <c r="AN225" s="437"/>
      <c r="AO225" s="437"/>
      <c r="AP225" s="437"/>
      <c r="AQ225" s="437"/>
      <c r="AR225" s="437"/>
      <c r="AS225" s="437"/>
      <c r="AT225" s="437"/>
      <c r="AU225" s="437"/>
      <c r="AV225" s="437"/>
    </row>
    <row r="226" spans="27:48" x14ac:dyDescent="0.25">
      <c r="AA226" s="437"/>
      <c r="AB226" s="437"/>
      <c r="AC226" s="437"/>
      <c r="AD226" s="437"/>
      <c r="AE226" s="437"/>
      <c r="AF226" s="437"/>
      <c r="AG226" s="437"/>
      <c r="AH226" s="437"/>
      <c r="AI226" s="437"/>
      <c r="AJ226" s="437"/>
      <c r="AK226" s="437"/>
      <c r="AL226" s="437"/>
      <c r="AM226" s="437"/>
      <c r="AN226" s="437"/>
      <c r="AO226" s="437"/>
      <c r="AP226" s="437"/>
      <c r="AQ226" s="437"/>
      <c r="AR226" s="437"/>
      <c r="AS226" s="437"/>
      <c r="AT226" s="437"/>
      <c r="AU226" s="437"/>
      <c r="AV226" s="437"/>
    </row>
    <row r="227" spans="27:48" x14ac:dyDescent="0.25">
      <c r="AA227" s="437"/>
      <c r="AB227" s="437"/>
      <c r="AC227" s="437"/>
      <c r="AD227" s="437"/>
      <c r="AE227" s="437"/>
      <c r="AF227" s="437"/>
      <c r="AG227" s="437"/>
      <c r="AH227" s="437"/>
      <c r="AI227" s="437"/>
      <c r="AJ227" s="437"/>
      <c r="AK227" s="437"/>
      <c r="AL227" s="437"/>
      <c r="AM227" s="437"/>
      <c r="AN227" s="437"/>
      <c r="AO227" s="437"/>
      <c r="AP227" s="437"/>
      <c r="AQ227" s="437"/>
      <c r="AR227" s="437"/>
      <c r="AS227" s="437"/>
      <c r="AT227" s="437"/>
      <c r="AU227" s="437"/>
      <c r="AV227" s="437"/>
    </row>
    <row r="228" spans="27:48" x14ac:dyDescent="0.25">
      <c r="AA228" s="437"/>
      <c r="AB228" s="437"/>
      <c r="AC228" s="437"/>
      <c r="AD228" s="437"/>
      <c r="AE228" s="437"/>
      <c r="AF228" s="437"/>
      <c r="AG228" s="437"/>
      <c r="AH228" s="437"/>
      <c r="AI228" s="437"/>
      <c r="AJ228" s="437"/>
      <c r="AK228" s="437"/>
      <c r="AL228" s="437"/>
      <c r="AM228" s="437"/>
      <c r="AN228" s="437"/>
      <c r="AO228" s="437"/>
      <c r="AP228" s="437"/>
      <c r="AQ228" s="437"/>
      <c r="AR228" s="437"/>
      <c r="AS228" s="437"/>
      <c r="AT228" s="437"/>
      <c r="AU228" s="437"/>
      <c r="AV228" s="437"/>
    </row>
    <row r="229" spans="27:48" x14ac:dyDescent="0.25">
      <c r="AA229" s="437"/>
      <c r="AB229" s="437"/>
      <c r="AC229" s="437"/>
      <c r="AD229" s="437"/>
      <c r="AE229" s="437"/>
      <c r="AF229" s="437"/>
      <c r="AG229" s="437"/>
      <c r="AH229" s="437"/>
      <c r="AI229" s="437"/>
      <c r="AJ229" s="437"/>
      <c r="AK229" s="437"/>
      <c r="AL229" s="437"/>
      <c r="AM229" s="437"/>
      <c r="AN229" s="437"/>
      <c r="AO229" s="437"/>
      <c r="AP229" s="437"/>
      <c r="AQ229" s="437"/>
      <c r="AR229" s="437"/>
      <c r="AS229" s="437"/>
      <c r="AT229" s="437"/>
      <c r="AU229" s="437"/>
      <c r="AV229" s="437"/>
    </row>
    <row r="230" spans="27:48" x14ac:dyDescent="0.25">
      <c r="AA230" s="437"/>
      <c r="AB230" s="437"/>
      <c r="AC230" s="437"/>
      <c r="AD230" s="437"/>
      <c r="AE230" s="437"/>
      <c r="AF230" s="437"/>
      <c r="AG230" s="437"/>
      <c r="AH230" s="437"/>
      <c r="AI230" s="437"/>
      <c r="AJ230" s="437"/>
      <c r="AK230" s="437"/>
      <c r="AL230" s="437"/>
      <c r="AM230" s="437"/>
      <c r="AN230" s="437"/>
      <c r="AO230" s="437"/>
      <c r="AP230" s="437"/>
      <c r="AQ230" s="437"/>
      <c r="AR230" s="437"/>
      <c r="AS230" s="437"/>
      <c r="AT230" s="437"/>
      <c r="AU230" s="437"/>
      <c r="AV230" s="437"/>
    </row>
    <row r="231" spans="27:48" x14ac:dyDescent="0.25">
      <c r="AA231" s="437"/>
      <c r="AB231" s="437"/>
      <c r="AC231" s="437"/>
      <c r="AD231" s="437"/>
      <c r="AE231" s="437"/>
      <c r="AF231" s="437"/>
      <c r="AG231" s="437"/>
      <c r="AH231" s="437"/>
      <c r="AI231" s="437"/>
      <c r="AJ231" s="437"/>
      <c r="AK231" s="437"/>
      <c r="AL231" s="437"/>
      <c r="AM231" s="437"/>
      <c r="AN231" s="437"/>
      <c r="AO231" s="437"/>
      <c r="AP231" s="437"/>
      <c r="AQ231" s="437"/>
      <c r="AR231" s="437"/>
      <c r="AS231" s="437"/>
      <c r="AT231" s="437"/>
      <c r="AU231" s="437"/>
      <c r="AV231" s="437"/>
    </row>
    <row r="232" spans="27:48" x14ac:dyDescent="0.25">
      <c r="AA232" s="437"/>
      <c r="AB232" s="437"/>
      <c r="AC232" s="437"/>
      <c r="AD232" s="437"/>
      <c r="AE232" s="437"/>
      <c r="AF232" s="437"/>
      <c r="AG232" s="437"/>
      <c r="AH232" s="437"/>
      <c r="AI232" s="437"/>
      <c r="AJ232" s="437"/>
      <c r="AK232" s="437"/>
      <c r="AL232" s="437"/>
      <c r="AM232" s="437"/>
      <c r="AN232" s="437"/>
      <c r="AO232" s="437"/>
      <c r="AP232" s="437"/>
      <c r="AQ232" s="437"/>
      <c r="AR232" s="437"/>
      <c r="AS232" s="437"/>
      <c r="AT232" s="437"/>
      <c r="AU232" s="437"/>
      <c r="AV232" s="437"/>
    </row>
    <row r="233" spans="27:48" x14ac:dyDescent="0.25">
      <c r="AA233" s="437"/>
      <c r="AB233" s="437"/>
      <c r="AC233" s="437"/>
      <c r="AD233" s="437"/>
      <c r="AE233" s="437"/>
      <c r="AF233" s="437"/>
      <c r="AG233" s="437"/>
      <c r="AH233" s="437"/>
      <c r="AI233" s="437"/>
      <c r="AJ233" s="437"/>
      <c r="AK233" s="437"/>
      <c r="AL233" s="437"/>
      <c r="AM233" s="437"/>
      <c r="AN233" s="437"/>
      <c r="AO233" s="437"/>
      <c r="AP233" s="437"/>
      <c r="AQ233" s="437"/>
      <c r="AR233" s="437"/>
      <c r="AS233" s="437"/>
      <c r="AT233" s="437"/>
      <c r="AU233" s="437"/>
      <c r="AV233" s="437"/>
    </row>
    <row r="234" spans="27:48" x14ac:dyDescent="0.25">
      <c r="AA234" s="437"/>
      <c r="AB234" s="437"/>
      <c r="AC234" s="437"/>
      <c r="AD234" s="437"/>
      <c r="AE234" s="437"/>
      <c r="AF234" s="437"/>
      <c r="AG234" s="437"/>
      <c r="AH234" s="437"/>
      <c r="AI234" s="437"/>
      <c r="AJ234" s="437"/>
      <c r="AK234" s="437"/>
      <c r="AL234" s="437"/>
      <c r="AM234" s="437"/>
      <c r="AN234" s="437"/>
      <c r="AO234" s="437"/>
      <c r="AP234" s="437"/>
      <c r="AQ234" s="437"/>
      <c r="AR234" s="437"/>
      <c r="AS234" s="437"/>
      <c r="AT234" s="437"/>
      <c r="AU234" s="437"/>
      <c r="AV234" s="437"/>
    </row>
    <row r="235" spans="27:48" x14ac:dyDescent="0.25">
      <c r="AA235" s="437"/>
      <c r="AB235" s="437"/>
      <c r="AC235" s="437"/>
      <c r="AD235" s="437"/>
      <c r="AE235" s="437"/>
      <c r="AF235" s="437"/>
      <c r="AG235" s="437"/>
      <c r="AH235" s="437"/>
      <c r="AI235" s="437"/>
      <c r="AJ235" s="437"/>
      <c r="AK235" s="437"/>
      <c r="AL235" s="437"/>
      <c r="AM235" s="437"/>
      <c r="AN235" s="437"/>
      <c r="AO235" s="437"/>
      <c r="AP235" s="437"/>
      <c r="AQ235" s="437"/>
      <c r="AR235" s="437"/>
      <c r="AS235" s="437"/>
      <c r="AT235" s="437"/>
      <c r="AU235" s="437"/>
      <c r="AV235" s="437"/>
    </row>
    <row r="236" spans="27:48" x14ac:dyDescent="0.25">
      <c r="AA236" s="437"/>
      <c r="AB236" s="437"/>
      <c r="AC236" s="437"/>
      <c r="AD236" s="437"/>
      <c r="AE236" s="437"/>
      <c r="AF236" s="437"/>
      <c r="AG236" s="437"/>
      <c r="AH236" s="437"/>
      <c r="AI236" s="437"/>
      <c r="AJ236" s="437"/>
      <c r="AK236" s="437"/>
      <c r="AL236" s="437"/>
      <c r="AM236" s="437"/>
      <c r="AN236" s="437"/>
      <c r="AO236" s="437"/>
      <c r="AP236" s="437"/>
      <c r="AQ236" s="437"/>
      <c r="AR236" s="437"/>
      <c r="AS236" s="437"/>
      <c r="AT236" s="437"/>
      <c r="AU236" s="437"/>
      <c r="AV236" s="437"/>
    </row>
    <row r="237" spans="27:48" x14ac:dyDescent="0.25">
      <c r="AA237" s="437"/>
      <c r="AB237" s="437"/>
      <c r="AC237" s="437"/>
      <c r="AD237" s="437"/>
      <c r="AE237" s="437"/>
      <c r="AF237" s="437"/>
      <c r="AG237" s="437"/>
      <c r="AH237" s="437"/>
      <c r="AI237" s="437"/>
      <c r="AJ237" s="437"/>
      <c r="AK237" s="437"/>
      <c r="AL237" s="437"/>
      <c r="AM237" s="437"/>
      <c r="AN237" s="437"/>
      <c r="AO237" s="437"/>
      <c r="AP237" s="437"/>
      <c r="AQ237" s="437"/>
      <c r="AR237" s="437"/>
      <c r="AS237" s="437"/>
      <c r="AT237" s="437"/>
      <c r="AU237" s="437"/>
      <c r="AV237" s="437"/>
    </row>
    <row r="238" spans="27:48" x14ac:dyDescent="0.25">
      <c r="AA238" s="437"/>
      <c r="AB238" s="437"/>
      <c r="AC238" s="437"/>
      <c r="AD238" s="437"/>
      <c r="AE238" s="437"/>
      <c r="AF238" s="437"/>
      <c r="AG238" s="437"/>
      <c r="AH238" s="437"/>
      <c r="AI238" s="437"/>
      <c r="AJ238" s="437"/>
      <c r="AK238" s="437"/>
      <c r="AL238" s="437"/>
      <c r="AM238" s="437"/>
      <c r="AN238" s="437"/>
      <c r="AO238" s="437"/>
      <c r="AP238" s="437"/>
      <c r="AQ238" s="437"/>
      <c r="AR238" s="437"/>
      <c r="AS238" s="437"/>
      <c r="AT238" s="437"/>
      <c r="AU238" s="437"/>
      <c r="AV238" s="437"/>
    </row>
    <row r="239" spans="27:48" x14ac:dyDescent="0.25">
      <c r="AA239" s="437"/>
      <c r="AB239" s="437"/>
      <c r="AC239" s="437"/>
      <c r="AD239" s="437"/>
      <c r="AE239" s="437"/>
      <c r="AF239" s="437"/>
      <c r="AG239" s="437"/>
      <c r="AH239" s="437"/>
      <c r="AI239" s="437"/>
      <c r="AJ239" s="437"/>
      <c r="AK239" s="437"/>
      <c r="AL239" s="437"/>
      <c r="AM239" s="437"/>
      <c r="AN239" s="437"/>
      <c r="AO239" s="437"/>
      <c r="AP239" s="437"/>
      <c r="AQ239" s="437"/>
      <c r="AR239" s="437"/>
      <c r="AS239" s="437"/>
      <c r="AT239" s="437"/>
      <c r="AU239" s="437"/>
      <c r="AV239" s="437"/>
    </row>
    <row r="240" spans="27:48" x14ac:dyDescent="0.25">
      <c r="AA240" s="437"/>
      <c r="AB240" s="437"/>
      <c r="AC240" s="437"/>
      <c r="AD240" s="437"/>
      <c r="AE240" s="437"/>
      <c r="AF240" s="437"/>
      <c r="AG240" s="437"/>
      <c r="AH240" s="437"/>
      <c r="AI240" s="437"/>
      <c r="AJ240" s="437"/>
      <c r="AK240" s="437"/>
      <c r="AL240" s="437"/>
      <c r="AM240" s="437"/>
      <c r="AN240" s="437"/>
      <c r="AO240" s="437"/>
      <c r="AP240" s="437"/>
      <c r="AQ240" s="437"/>
      <c r="AR240" s="437"/>
      <c r="AS240" s="437"/>
      <c r="AT240" s="437"/>
      <c r="AU240" s="437"/>
      <c r="AV240" s="437"/>
    </row>
    <row r="241" spans="27:48" x14ac:dyDescent="0.25">
      <c r="AA241" s="437"/>
      <c r="AB241" s="437"/>
      <c r="AC241" s="437"/>
      <c r="AD241" s="437"/>
      <c r="AE241" s="437"/>
      <c r="AF241" s="437"/>
      <c r="AG241" s="437"/>
      <c r="AH241" s="437"/>
      <c r="AI241" s="437"/>
      <c r="AJ241" s="437"/>
      <c r="AK241" s="437"/>
      <c r="AL241" s="437"/>
      <c r="AM241" s="437"/>
      <c r="AN241" s="437"/>
      <c r="AO241" s="437"/>
      <c r="AP241" s="437"/>
      <c r="AQ241" s="437"/>
      <c r="AR241" s="437"/>
      <c r="AS241" s="437"/>
      <c r="AT241" s="437"/>
      <c r="AU241" s="437"/>
      <c r="AV241" s="437"/>
    </row>
    <row r="242" spans="27:48" x14ac:dyDescent="0.25">
      <c r="AA242" s="437"/>
      <c r="AB242" s="437"/>
      <c r="AC242" s="437"/>
      <c r="AD242" s="437"/>
      <c r="AE242" s="437"/>
      <c r="AF242" s="437"/>
      <c r="AG242" s="437"/>
      <c r="AH242" s="437"/>
      <c r="AI242" s="437"/>
      <c r="AJ242" s="437"/>
      <c r="AK242" s="437"/>
      <c r="AL242" s="437"/>
      <c r="AM242" s="437"/>
      <c r="AN242" s="437"/>
      <c r="AO242" s="437"/>
      <c r="AP242" s="437"/>
      <c r="AQ242" s="437"/>
      <c r="AR242" s="437"/>
      <c r="AS242" s="437"/>
      <c r="AT242" s="437"/>
      <c r="AU242" s="437"/>
      <c r="AV242" s="437"/>
    </row>
    <row r="243" spans="27:48" x14ac:dyDescent="0.25">
      <c r="AA243" s="437"/>
      <c r="AB243" s="437"/>
      <c r="AC243" s="437"/>
      <c r="AD243" s="437"/>
      <c r="AE243" s="437"/>
      <c r="AF243" s="437"/>
      <c r="AG243" s="437"/>
      <c r="AH243" s="437"/>
      <c r="AI243" s="437"/>
      <c r="AJ243" s="437"/>
      <c r="AK243" s="437"/>
      <c r="AL243" s="437"/>
      <c r="AM243" s="437"/>
      <c r="AN243" s="437"/>
      <c r="AO243" s="437"/>
      <c r="AP243" s="437"/>
      <c r="AQ243" s="437"/>
      <c r="AR243" s="437"/>
      <c r="AS243" s="437"/>
      <c r="AT243" s="437"/>
      <c r="AU243" s="437"/>
      <c r="AV243" s="437"/>
    </row>
    <row r="244" spans="27:48" x14ac:dyDescent="0.25">
      <c r="AA244" s="437"/>
      <c r="AB244" s="437"/>
      <c r="AC244" s="437"/>
      <c r="AD244" s="437"/>
      <c r="AE244" s="437"/>
      <c r="AF244" s="437"/>
      <c r="AG244" s="437"/>
      <c r="AH244" s="437"/>
      <c r="AI244" s="437"/>
      <c r="AJ244" s="437"/>
      <c r="AK244" s="437"/>
      <c r="AL244" s="437"/>
      <c r="AM244" s="437"/>
      <c r="AN244" s="437"/>
      <c r="AO244" s="437"/>
      <c r="AP244" s="437"/>
      <c r="AQ244" s="437"/>
      <c r="AR244" s="437"/>
      <c r="AS244" s="437"/>
      <c r="AT244" s="437"/>
      <c r="AU244" s="437"/>
      <c r="AV244" s="437"/>
    </row>
    <row r="245" spans="27:48" x14ac:dyDescent="0.25">
      <c r="AA245" s="437"/>
      <c r="AB245" s="437"/>
      <c r="AC245" s="437"/>
      <c r="AD245" s="437"/>
      <c r="AE245" s="437"/>
      <c r="AF245" s="437"/>
      <c r="AG245" s="437"/>
      <c r="AH245" s="437"/>
      <c r="AI245" s="437"/>
      <c r="AJ245" s="437"/>
      <c r="AK245" s="437"/>
      <c r="AL245" s="437"/>
      <c r="AM245" s="437"/>
      <c r="AN245" s="437"/>
      <c r="AO245" s="437"/>
      <c r="AP245" s="437"/>
      <c r="AQ245" s="437"/>
      <c r="AR245" s="437"/>
      <c r="AS245" s="437"/>
      <c r="AT245" s="437"/>
      <c r="AU245" s="437"/>
      <c r="AV245" s="437"/>
    </row>
    <row r="246" spans="27:48" x14ac:dyDescent="0.25">
      <c r="AA246" s="437"/>
      <c r="AB246" s="437"/>
      <c r="AC246" s="437"/>
      <c r="AD246" s="437"/>
      <c r="AE246" s="437"/>
      <c r="AF246" s="437"/>
      <c r="AG246" s="437"/>
      <c r="AH246" s="437"/>
      <c r="AI246" s="437"/>
      <c r="AJ246" s="437"/>
      <c r="AK246" s="437"/>
      <c r="AL246" s="437"/>
      <c r="AM246" s="437"/>
      <c r="AN246" s="437"/>
      <c r="AO246" s="437"/>
      <c r="AP246" s="437"/>
      <c r="AQ246" s="437"/>
      <c r="AR246" s="437"/>
      <c r="AS246" s="437"/>
      <c r="AT246" s="437"/>
      <c r="AU246" s="437"/>
      <c r="AV246" s="437"/>
    </row>
    <row r="247" spans="27:48" x14ac:dyDescent="0.25">
      <c r="AA247" s="437"/>
      <c r="AB247" s="437"/>
      <c r="AC247" s="437"/>
      <c r="AD247" s="437"/>
      <c r="AE247" s="437"/>
      <c r="AF247" s="437"/>
      <c r="AG247" s="437"/>
      <c r="AH247" s="437"/>
      <c r="AI247" s="437"/>
      <c r="AJ247" s="437"/>
      <c r="AK247" s="437"/>
      <c r="AL247" s="437"/>
      <c r="AM247" s="437"/>
      <c r="AN247" s="437"/>
      <c r="AO247" s="437"/>
      <c r="AP247" s="437"/>
      <c r="AQ247" s="437"/>
      <c r="AR247" s="437"/>
      <c r="AS247" s="437"/>
      <c r="AT247" s="437"/>
      <c r="AU247" s="437"/>
      <c r="AV247" s="437"/>
    </row>
    <row r="248" spans="27:48" x14ac:dyDescent="0.25">
      <c r="AA248" s="437"/>
      <c r="AB248" s="437"/>
      <c r="AC248" s="437"/>
      <c r="AD248" s="437"/>
      <c r="AE248" s="437"/>
      <c r="AF248" s="437"/>
      <c r="AG248" s="437"/>
      <c r="AH248" s="437"/>
      <c r="AI248" s="437"/>
      <c r="AJ248" s="437"/>
      <c r="AK248" s="437"/>
      <c r="AL248" s="437"/>
      <c r="AM248" s="437"/>
      <c r="AN248" s="437"/>
      <c r="AO248" s="437"/>
      <c r="AP248" s="437"/>
      <c r="AQ248" s="437"/>
      <c r="AR248" s="437"/>
      <c r="AS248" s="437"/>
      <c r="AT248" s="437"/>
      <c r="AU248" s="437"/>
      <c r="AV248" s="437"/>
    </row>
    <row r="249" spans="27:48" x14ac:dyDescent="0.25">
      <c r="AA249" s="437"/>
      <c r="AB249" s="437"/>
      <c r="AC249" s="437"/>
      <c r="AD249" s="437"/>
      <c r="AE249" s="437"/>
      <c r="AF249" s="437"/>
      <c r="AG249" s="437"/>
      <c r="AH249" s="437"/>
      <c r="AI249" s="437"/>
      <c r="AJ249" s="437"/>
      <c r="AK249" s="437"/>
      <c r="AL249" s="437"/>
      <c r="AM249" s="437"/>
      <c r="AN249" s="437"/>
      <c r="AO249" s="437"/>
      <c r="AP249" s="437"/>
      <c r="AQ249" s="437"/>
      <c r="AR249" s="437"/>
      <c r="AS249" s="437"/>
      <c r="AT249" s="437"/>
      <c r="AU249" s="437"/>
      <c r="AV249" s="437"/>
    </row>
    <row r="250" spans="27:48" x14ac:dyDescent="0.25">
      <c r="AA250" s="437"/>
      <c r="AB250" s="437"/>
      <c r="AC250" s="437"/>
      <c r="AD250" s="437"/>
      <c r="AE250" s="437"/>
      <c r="AF250" s="437"/>
      <c r="AG250" s="437"/>
      <c r="AH250" s="437"/>
      <c r="AI250" s="437"/>
      <c r="AJ250" s="437"/>
      <c r="AK250" s="437"/>
      <c r="AL250" s="437"/>
      <c r="AM250" s="437"/>
      <c r="AN250" s="437"/>
      <c r="AO250" s="437"/>
      <c r="AP250" s="437"/>
      <c r="AQ250" s="437"/>
      <c r="AR250" s="437"/>
      <c r="AS250" s="437"/>
      <c r="AT250" s="437"/>
      <c r="AU250" s="437"/>
      <c r="AV250" s="437"/>
    </row>
    <row r="251" spans="27:48" x14ac:dyDescent="0.25">
      <c r="AA251" s="437"/>
      <c r="AB251" s="437"/>
      <c r="AC251" s="437"/>
      <c r="AD251" s="437"/>
      <c r="AE251" s="437"/>
      <c r="AF251" s="437"/>
      <c r="AG251" s="437"/>
      <c r="AH251" s="437"/>
      <c r="AI251" s="437"/>
      <c r="AJ251" s="437"/>
      <c r="AK251" s="437"/>
      <c r="AL251" s="437"/>
      <c r="AM251" s="437"/>
      <c r="AN251" s="437"/>
      <c r="AO251" s="437"/>
      <c r="AP251" s="437"/>
      <c r="AQ251" s="437"/>
      <c r="AR251" s="437"/>
      <c r="AS251" s="437"/>
      <c r="AT251" s="437"/>
      <c r="AU251" s="437"/>
      <c r="AV251" s="437"/>
    </row>
    <row r="252" spans="27:48" x14ac:dyDescent="0.25">
      <c r="AA252" s="437"/>
      <c r="AB252" s="437"/>
      <c r="AC252" s="437"/>
      <c r="AD252" s="437"/>
      <c r="AE252" s="437"/>
      <c r="AF252" s="437"/>
      <c r="AG252" s="437"/>
      <c r="AH252" s="437"/>
      <c r="AI252" s="437"/>
      <c r="AJ252" s="437"/>
      <c r="AK252" s="437"/>
      <c r="AL252" s="437"/>
      <c r="AM252" s="437"/>
      <c r="AN252" s="437"/>
      <c r="AO252" s="437"/>
      <c r="AP252" s="437"/>
      <c r="AQ252" s="437"/>
      <c r="AR252" s="437"/>
      <c r="AS252" s="437"/>
      <c r="AT252" s="437"/>
      <c r="AU252" s="437"/>
      <c r="AV252" s="437"/>
    </row>
    <row r="253" spans="27:48" x14ac:dyDescent="0.25">
      <c r="AA253" s="437"/>
      <c r="AB253" s="437"/>
      <c r="AC253" s="437"/>
      <c r="AD253" s="437"/>
      <c r="AE253" s="437"/>
      <c r="AF253" s="437"/>
      <c r="AG253" s="437"/>
      <c r="AH253" s="437"/>
      <c r="AI253" s="437"/>
      <c r="AJ253" s="437"/>
      <c r="AK253" s="437"/>
      <c r="AL253" s="437"/>
      <c r="AM253" s="437"/>
      <c r="AN253" s="437"/>
      <c r="AO253" s="437"/>
      <c r="AP253" s="437"/>
      <c r="AQ253" s="437"/>
      <c r="AR253" s="437"/>
      <c r="AS253" s="437"/>
      <c r="AT253" s="437"/>
      <c r="AU253" s="437"/>
      <c r="AV253" s="437"/>
    </row>
    <row r="254" spans="27:48" x14ac:dyDescent="0.25">
      <c r="AA254" s="437"/>
      <c r="AB254" s="437"/>
      <c r="AC254" s="437"/>
      <c r="AD254" s="437"/>
      <c r="AE254" s="437"/>
      <c r="AF254" s="437"/>
      <c r="AG254" s="437"/>
      <c r="AH254" s="437"/>
      <c r="AI254" s="437"/>
      <c r="AJ254" s="437"/>
      <c r="AK254" s="437"/>
      <c r="AL254" s="437"/>
      <c r="AM254" s="437"/>
      <c r="AN254" s="437"/>
      <c r="AO254" s="437"/>
      <c r="AP254" s="437"/>
      <c r="AQ254" s="437"/>
      <c r="AR254" s="437"/>
      <c r="AS254" s="437"/>
      <c r="AT254" s="437"/>
      <c r="AU254" s="437"/>
      <c r="AV254" s="437"/>
    </row>
    <row r="255" spans="27:48" x14ac:dyDescent="0.25">
      <c r="AA255" s="437"/>
      <c r="AB255" s="437"/>
      <c r="AC255" s="437"/>
      <c r="AD255" s="437"/>
      <c r="AE255" s="437"/>
      <c r="AF255" s="437"/>
      <c r="AG255" s="437"/>
      <c r="AH255" s="437"/>
      <c r="AI255" s="437"/>
      <c r="AJ255" s="437"/>
      <c r="AK255" s="437"/>
      <c r="AL255" s="437"/>
      <c r="AM255" s="437"/>
      <c r="AN255" s="437"/>
      <c r="AO255" s="437"/>
      <c r="AP255" s="437"/>
      <c r="AQ255" s="437"/>
      <c r="AR255" s="437"/>
      <c r="AS255" s="437"/>
      <c r="AT255" s="437"/>
      <c r="AU255" s="437"/>
      <c r="AV255" s="437"/>
    </row>
    <row r="256" spans="27:48" x14ac:dyDescent="0.25">
      <c r="AA256" s="437"/>
      <c r="AB256" s="437"/>
      <c r="AC256" s="437"/>
      <c r="AD256" s="437"/>
      <c r="AE256" s="437"/>
      <c r="AF256" s="437"/>
      <c r="AG256" s="437"/>
      <c r="AH256" s="437"/>
      <c r="AI256" s="437"/>
      <c r="AJ256" s="437"/>
      <c r="AK256" s="437"/>
      <c r="AL256" s="437"/>
      <c r="AM256" s="437"/>
      <c r="AN256" s="437"/>
      <c r="AO256" s="437"/>
      <c r="AP256" s="437"/>
      <c r="AQ256" s="437"/>
      <c r="AR256" s="437"/>
      <c r="AS256" s="437"/>
      <c r="AT256" s="437"/>
      <c r="AU256" s="437"/>
      <c r="AV256" s="437"/>
    </row>
    <row r="257" spans="27:48" x14ac:dyDescent="0.25">
      <c r="AA257" s="437"/>
      <c r="AB257" s="437"/>
      <c r="AC257" s="437"/>
      <c r="AD257" s="437"/>
      <c r="AE257" s="437"/>
      <c r="AF257" s="437"/>
      <c r="AG257" s="437"/>
      <c r="AH257" s="437"/>
      <c r="AI257" s="437"/>
      <c r="AJ257" s="437"/>
      <c r="AK257" s="437"/>
      <c r="AL257" s="437"/>
      <c r="AM257" s="437"/>
      <c r="AN257" s="437"/>
      <c r="AO257" s="437"/>
      <c r="AP257" s="437"/>
      <c r="AQ257" s="437"/>
      <c r="AR257" s="437"/>
      <c r="AS257" s="437"/>
      <c r="AT257" s="437"/>
      <c r="AU257" s="437"/>
      <c r="AV257" s="437"/>
    </row>
    <row r="258" spans="27:48" x14ac:dyDescent="0.25">
      <c r="AA258" s="437"/>
      <c r="AB258" s="437"/>
      <c r="AC258" s="437"/>
      <c r="AD258" s="437"/>
      <c r="AE258" s="437"/>
      <c r="AF258" s="437"/>
      <c r="AG258" s="437"/>
      <c r="AH258" s="437"/>
      <c r="AI258" s="437"/>
      <c r="AJ258" s="437"/>
      <c r="AK258" s="437"/>
      <c r="AL258" s="437"/>
      <c r="AM258" s="437"/>
      <c r="AN258" s="437"/>
      <c r="AO258" s="437"/>
      <c r="AP258" s="437"/>
      <c r="AQ258" s="437"/>
      <c r="AR258" s="437"/>
      <c r="AS258" s="437"/>
      <c r="AT258" s="437"/>
      <c r="AU258" s="437"/>
      <c r="AV258" s="437"/>
    </row>
    <row r="259" spans="27:48" x14ac:dyDescent="0.25">
      <c r="AA259" s="437"/>
      <c r="AB259" s="437"/>
      <c r="AC259" s="437"/>
      <c r="AD259" s="437"/>
      <c r="AE259" s="437"/>
      <c r="AF259" s="437"/>
      <c r="AG259" s="437"/>
      <c r="AH259" s="437"/>
      <c r="AI259" s="437"/>
      <c r="AJ259" s="437"/>
      <c r="AK259" s="437"/>
      <c r="AL259" s="437"/>
      <c r="AM259" s="437"/>
      <c r="AN259" s="437"/>
      <c r="AO259" s="437"/>
      <c r="AP259" s="437"/>
      <c r="AQ259" s="437"/>
      <c r="AR259" s="437"/>
      <c r="AS259" s="437"/>
      <c r="AT259" s="437"/>
      <c r="AU259" s="437"/>
      <c r="AV259" s="437"/>
    </row>
    <row r="260" spans="27:48" x14ac:dyDescent="0.25">
      <c r="AA260" s="437"/>
      <c r="AB260" s="437"/>
      <c r="AC260" s="437"/>
      <c r="AD260" s="437"/>
      <c r="AE260" s="437"/>
      <c r="AF260" s="437"/>
      <c r="AG260" s="437"/>
      <c r="AH260" s="437"/>
      <c r="AI260" s="437"/>
      <c r="AJ260" s="437"/>
      <c r="AK260" s="437"/>
      <c r="AL260" s="437"/>
      <c r="AM260" s="437"/>
      <c r="AN260" s="437"/>
      <c r="AO260" s="437"/>
      <c r="AP260" s="437"/>
      <c r="AQ260" s="437"/>
      <c r="AR260" s="437"/>
      <c r="AS260" s="437"/>
      <c r="AT260" s="437"/>
      <c r="AU260" s="437"/>
      <c r="AV260" s="437"/>
    </row>
    <row r="261" spans="27:48" x14ac:dyDescent="0.25">
      <c r="AA261" s="437"/>
      <c r="AB261" s="437"/>
      <c r="AC261" s="437"/>
      <c r="AD261" s="437"/>
      <c r="AE261" s="437"/>
      <c r="AF261" s="437"/>
      <c r="AG261" s="437"/>
      <c r="AH261" s="437"/>
      <c r="AI261" s="437"/>
      <c r="AJ261" s="437"/>
      <c r="AK261" s="437"/>
      <c r="AL261" s="437"/>
      <c r="AM261" s="437"/>
      <c r="AN261" s="437"/>
      <c r="AO261" s="437"/>
      <c r="AP261" s="437"/>
      <c r="AQ261" s="437"/>
      <c r="AR261" s="437"/>
      <c r="AS261" s="437"/>
      <c r="AT261" s="437"/>
      <c r="AU261" s="437"/>
      <c r="AV261" s="437"/>
    </row>
    <row r="262" spans="27:48" x14ac:dyDescent="0.25">
      <c r="AA262" s="437"/>
      <c r="AB262" s="437"/>
      <c r="AC262" s="437"/>
      <c r="AD262" s="437"/>
      <c r="AE262" s="437"/>
      <c r="AF262" s="437"/>
      <c r="AG262" s="437"/>
      <c r="AH262" s="437"/>
      <c r="AI262" s="437"/>
      <c r="AJ262" s="437"/>
      <c r="AK262" s="437"/>
      <c r="AL262" s="437"/>
      <c r="AM262" s="437"/>
      <c r="AN262" s="437"/>
      <c r="AO262" s="437"/>
      <c r="AP262" s="437"/>
      <c r="AQ262" s="437"/>
      <c r="AR262" s="437"/>
      <c r="AS262" s="437"/>
      <c r="AT262" s="437"/>
      <c r="AU262" s="437"/>
      <c r="AV262" s="437"/>
    </row>
    <row r="263" spans="27:48" x14ac:dyDescent="0.25">
      <c r="AA263" s="437"/>
      <c r="AB263" s="437"/>
      <c r="AC263" s="437"/>
      <c r="AD263" s="437"/>
      <c r="AE263" s="437"/>
      <c r="AF263" s="437"/>
      <c r="AG263" s="437"/>
      <c r="AH263" s="437"/>
      <c r="AI263" s="437"/>
      <c r="AJ263" s="437"/>
      <c r="AK263" s="437"/>
      <c r="AL263" s="437"/>
      <c r="AM263" s="437"/>
      <c r="AN263" s="437"/>
      <c r="AO263" s="437"/>
      <c r="AP263" s="437"/>
      <c r="AQ263" s="437"/>
      <c r="AR263" s="437"/>
      <c r="AS263" s="437"/>
      <c r="AT263" s="437"/>
      <c r="AU263" s="437"/>
      <c r="AV263" s="437"/>
    </row>
    <row r="264" spans="27:48" x14ac:dyDescent="0.25">
      <c r="AA264" s="437"/>
      <c r="AB264" s="437"/>
      <c r="AC264" s="437"/>
      <c r="AD264" s="437"/>
      <c r="AE264" s="437"/>
      <c r="AF264" s="437"/>
      <c r="AG264" s="437"/>
      <c r="AH264" s="437"/>
      <c r="AI264" s="437"/>
      <c r="AJ264" s="437"/>
      <c r="AK264" s="437"/>
      <c r="AL264" s="437"/>
      <c r="AM264" s="437"/>
      <c r="AN264" s="437"/>
      <c r="AO264" s="437"/>
      <c r="AP264" s="437"/>
      <c r="AQ264" s="437"/>
      <c r="AR264" s="437"/>
      <c r="AS264" s="437"/>
      <c r="AT264" s="437"/>
      <c r="AU264" s="437"/>
      <c r="AV264" s="437"/>
    </row>
    <row r="265" spans="27:48" x14ac:dyDescent="0.25">
      <c r="AA265" s="437"/>
      <c r="AB265" s="437"/>
      <c r="AC265" s="437"/>
      <c r="AD265" s="437"/>
      <c r="AE265" s="437"/>
      <c r="AF265" s="437"/>
      <c r="AG265" s="437"/>
      <c r="AH265" s="437"/>
      <c r="AI265" s="437"/>
      <c r="AJ265" s="437"/>
      <c r="AK265" s="437"/>
      <c r="AL265" s="437"/>
      <c r="AM265" s="437"/>
      <c r="AN265" s="437"/>
      <c r="AO265" s="437"/>
      <c r="AP265" s="437"/>
      <c r="AQ265" s="437"/>
      <c r="AR265" s="437"/>
      <c r="AS265" s="437"/>
      <c r="AT265" s="437"/>
      <c r="AU265" s="437"/>
      <c r="AV265" s="437"/>
    </row>
    <row r="266" spans="27:48" x14ac:dyDescent="0.25">
      <c r="AA266" s="437"/>
      <c r="AB266" s="437"/>
      <c r="AC266" s="437"/>
      <c r="AD266" s="437"/>
      <c r="AE266" s="437"/>
      <c r="AF266" s="437"/>
      <c r="AG266" s="437"/>
      <c r="AH266" s="437"/>
      <c r="AI266" s="437"/>
      <c r="AJ266" s="437"/>
      <c r="AK266" s="437"/>
      <c r="AL266" s="437"/>
      <c r="AM266" s="437"/>
      <c r="AN266" s="437"/>
      <c r="AO266" s="437"/>
      <c r="AP266" s="437"/>
      <c r="AQ266" s="437"/>
      <c r="AR266" s="437"/>
      <c r="AS266" s="437"/>
      <c r="AT266" s="437"/>
      <c r="AU266" s="437"/>
      <c r="AV266" s="437"/>
    </row>
    <row r="267" spans="27:48" x14ac:dyDescent="0.25">
      <c r="AA267" s="437"/>
      <c r="AB267" s="437"/>
      <c r="AC267" s="437"/>
      <c r="AD267" s="437"/>
      <c r="AE267" s="437"/>
      <c r="AF267" s="437"/>
      <c r="AG267" s="437"/>
      <c r="AH267" s="437"/>
      <c r="AI267" s="437"/>
      <c r="AJ267" s="437"/>
      <c r="AK267" s="437"/>
      <c r="AL267" s="437"/>
      <c r="AM267" s="437"/>
      <c r="AN267" s="437"/>
      <c r="AO267" s="437"/>
      <c r="AP267" s="437"/>
      <c r="AQ267" s="437"/>
      <c r="AR267" s="437"/>
      <c r="AS267" s="437"/>
      <c r="AT267" s="437"/>
      <c r="AU267" s="437"/>
      <c r="AV267" s="437"/>
    </row>
    <row r="268" spans="27:48" x14ac:dyDescent="0.25">
      <c r="AA268" s="437"/>
      <c r="AB268" s="437"/>
      <c r="AC268" s="437"/>
      <c r="AD268" s="437"/>
      <c r="AE268" s="437"/>
      <c r="AF268" s="437"/>
      <c r="AG268" s="437"/>
      <c r="AH268" s="437"/>
      <c r="AI268" s="437"/>
      <c r="AJ268" s="437"/>
      <c r="AK268" s="437"/>
      <c r="AL268" s="437"/>
      <c r="AM268" s="437"/>
      <c r="AN268" s="437"/>
      <c r="AO268" s="437"/>
      <c r="AP268" s="437"/>
      <c r="AQ268" s="437"/>
      <c r="AR268" s="437"/>
      <c r="AS268" s="437"/>
      <c r="AT268" s="437"/>
      <c r="AU268" s="437"/>
      <c r="AV268" s="437"/>
    </row>
    <row r="269" spans="27:48" x14ac:dyDescent="0.25">
      <c r="AA269" s="437"/>
      <c r="AB269" s="437"/>
      <c r="AC269" s="437"/>
      <c r="AD269" s="437"/>
      <c r="AE269" s="437"/>
      <c r="AF269" s="437"/>
      <c r="AG269" s="437"/>
      <c r="AH269" s="437"/>
      <c r="AI269" s="437"/>
      <c r="AJ269" s="437"/>
      <c r="AK269" s="437"/>
      <c r="AL269" s="437"/>
      <c r="AM269" s="437"/>
      <c r="AN269" s="437"/>
      <c r="AO269" s="437"/>
      <c r="AP269" s="437"/>
      <c r="AQ269" s="437"/>
      <c r="AR269" s="437"/>
      <c r="AS269" s="437"/>
      <c r="AT269" s="437"/>
      <c r="AU269" s="437"/>
      <c r="AV269" s="437"/>
    </row>
    <row r="270" spans="27:48" x14ac:dyDescent="0.25">
      <c r="AA270" s="437"/>
      <c r="AB270" s="437"/>
      <c r="AC270" s="437"/>
      <c r="AD270" s="437"/>
      <c r="AE270" s="437"/>
      <c r="AF270" s="437"/>
      <c r="AG270" s="437"/>
      <c r="AH270" s="437"/>
      <c r="AI270" s="437"/>
      <c r="AJ270" s="437"/>
      <c r="AK270" s="437"/>
      <c r="AL270" s="437"/>
      <c r="AM270" s="437"/>
      <c r="AN270" s="437"/>
      <c r="AO270" s="437"/>
      <c r="AP270" s="437"/>
      <c r="AQ270" s="437"/>
      <c r="AR270" s="437"/>
      <c r="AS270" s="437"/>
      <c r="AT270" s="437"/>
      <c r="AU270" s="437"/>
      <c r="AV270" s="437"/>
    </row>
    <row r="271" spans="27:48" x14ac:dyDescent="0.25">
      <c r="AA271" s="437"/>
      <c r="AB271" s="437"/>
      <c r="AC271" s="437"/>
      <c r="AD271" s="437"/>
      <c r="AE271" s="437"/>
      <c r="AF271" s="437"/>
      <c r="AG271" s="437"/>
      <c r="AH271" s="437"/>
      <c r="AI271" s="437"/>
      <c r="AJ271" s="437"/>
      <c r="AK271" s="437"/>
      <c r="AL271" s="437"/>
      <c r="AM271" s="437"/>
      <c r="AN271" s="437"/>
      <c r="AO271" s="437"/>
      <c r="AP271" s="437"/>
      <c r="AQ271" s="437"/>
      <c r="AR271" s="437"/>
      <c r="AS271" s="437"/>
      <c r="AT271" s="437"/>
      <c r="AU271" s="437"/>
      <c r="AV271" s="437"/>
    </row>
    <row r="272" spans="27:48" x14ac:dyDescent="0.25">
      <c r="AA272" s="437"/>
      <c r="AB272" s="437"/>
      <c r="AC272" s="437"/>
      <c r="AD272" s="437"/>
      <c r="AE272" s="437"/>
      <c r="AF272" s="437"/>
      <c r="AG272" s="437"/>
      <c r="AH272" s="437"/>
      <c r="AI272" s="437"/>
      <c r="AJ272" s="437"/>
      <c r="AK272" s="437"/>
      <c r="AL272" s="437"/>
      <c r="AM272" s="437"/>
      <c r="AN272" s="437"/>
      <c r="AO272" s="437"/>
      <c r="AP272" s="437"/>
      <c r="AQ272" s="437"/>
      <c r="AR272" s="437"/>
      <c r="AS272" s="437"/>
      <c r="AT272" s="437"/>
      <c r="AU272" s="437"/>
      <c r="AV272" s="437"/>
    </row>
    <row r="273" spans="27:48" x14ac:dyDescent="0.25">
      <c r="AA273" s="437"/>
      <c r="AB273" s="437"/>
      <c r="AC273" s="437"/>
      <c r="AD273" s="437"/>
      <c r="AE273" s="437"/>
      <c r="AF273" s="437"/>
      <c r="AG273" s="437"/>
      <c r="AH273" s="437"/>
      <c r="AI273" s="437"/>
      <c r="AJ273" s="437"/>
      <c r="AK273" s="437"/>
      <c r="AL273" s="437"/>
      <c r="AM273" s="437"/>
      <c r="AN273" s="437"/>
      <c r="AO273" s="437"/>
      <c r="AP273" s="437"/>
      <c r="AQ273" s="437"/>
      <c r="AR273" s="437"/>
      <c r="AS273" s="437"/>
      <c r="AT273" s="437"/>
      <c r="AU273" s="437"/>
      <c r="AV273" s="437"/>
    </row>
    <row r="274" spans="27:48" x14ac:dyDescent="0.25">
      <c r="AA274" s="437"/>
      <c r="AB274" s="437"/>
      <c r="AC274" s="437"/>
      <c r="AD274" s="437"/>
      <c r="AE274" s="437"/>
      <c r="AF274" s="437"/>
      <c r="AG274" s="437"/>
      <c r="AH274" s="437"/>
      <c r="AI274" s="437"/>
      <c r="AJ274" s="437"/>
      <c r="AK274" s="437"/>
      <c r="AL274" s="437"/>
      <c r="AM274" s="437"/>
      <c r="AN274" s="437"/>
      <c r="AO274" s="437"/>
      <c r="AP274" s="437"/>
      <c r="AQ274" s="437"/>
      <c r="AR274" s="437"/>
      <c r="AS274" s="437"/>
      <c r="AT274" s="437"/>
      <c r="AU274" s="437"/>
      <c r="AV274" s="437"/>
    </row>
    <row r="275" spans="27:48" x14ac:dyDescent="0.25">
      <c r="AA275" s="437"/>
      <c r="AB275" s="437"/>
      <c r="AC275" s="437"/>
      <c r="AD275" s="437"/>
      <c r="AE275" s="437"/>
      <c r="AF275" s="437"/>
      <c r="AG275" s="437"/>
      <c r="AH275" s="437"/>
      <c r="AI275" s="437"/>
      <c r="AJ275" s="437"/>
      <c r="AK275" s="437"/>
      <c r="AL275" s="437"/>
      <c r="AM275" s="437"/>
      <c r="AN275" s="437"/>
      <c r="AO275" s="437"/>
      <c r="AP275" s="437"/>
      <c r="AQ275" s="437"/>
      <c r="AR275" s="437"/>
      <c r="AS275" s="437"/>
      <c r="AT275" s="437"/>
      <c r="AU275" s="437"/>
      <c r="AV275" s="437"/>
    </row>
    <row r="276" spans="27:48" x14ac:dyDescent="0.25">
      <c r="AA276" s="437"/>
      <c r="AB276" s="437"/>
      <c r="AC276" s="437"/>
      <c r="AD276" s="437"/>
      <c r="AE276" s="437"/>
      <c r="AF276" s="437"/>
      <c r="AG276" s="437"/>
      <c r="AH276" s="437"/>
      <c r="AI276" s="437"/>
      <c r="AJ276" s="437"/>
      <c r="AK276" s="437"/>
      <c r="AL276" s="437"/>
      <c r="AM276" s="437"/>
      <c r="AN276" s="437"/>
      <c r="AO276" s="437"/>
      <c r="AP276" s="437"/>
      <c r="AQ276" s="437"/>
      <c r="AR276" s="437"/>
      <c r="AS276" s="437"/>
      <c r="AT276" s="437"/>
      <c r="AU276" s="437"/>
      <c r="AV276" s="437"/>
    </row>
    <row r="277" spans="27:48" x14ac:dyDescent="0.25">
      <c r="AA277" s="437"/>
      <c r="AB277" s="437"/>
      <c r="AC277" s="437"/>
      <c r="AD277" s="437"/>
      <c r="AE277" s="437"/>
      <c r="AF277" s="437"/>
      <c r="AG277" s="437"/>
      <c r="AH277" s="437"/>
      <c r="AI277" s="437"/>
      <c r="AJ277" s="437"/>
      <c r="AK277" s="437"/>
      <c r="AL277" s="437"/>
      <c r="AM277" s="437"/>
      <c r="AN277" s="437"/>
      <c r="AO277" s="437"/>
      <c r="AP277" s="437"/>
      <c r="AQ277" s="437"/>
      <c r="AR277" s="437"/>
      <c r="AS277" s="437"/>
      <c r="AT277" s="437"/>
      <c r="AU277" s="437"/>
      <c r="AV277" s="437"/>
    </row>
    <row r="278" spans="27:48" x14ac:dyDescent="0.25">
      <c r="AA278" s="437"/>
      <c r="AB278" s="437"/>
      <c r="AC278" s="437"/>
      <c r="AD278" s="437"/>
      <c r="AE278" s="437"/>
      <c r="AF278" s="437"/>
      <c r="AG278" s="437"/>
      <c r="AH278" s="437"/>
      <c r="AI278" s="437"/>
      <c r="AJ278" s="437"/>
      <c r="AK278" s="437"/>
      <c r="AL278" s="437"/>
      <c r="AM278" s="437"/>
      <c r="AN278" s="437"/>
      <c r="AO278" s="437"/>
      <c r="AP278" s="437"/>
      <c r="AQ278" s="437"/>
      <c r="AR278" s="437"/>
      <c r="AS278" s="437"/>
      <c r="AT278" s="437"/>
      <c r="AU278" s="437"/>
      <c r="AV278" s="437"/>
    </row>
    <row r="279" spans="27:48" x14ac:dyDescent="0.25">
      <c r="AA279" s="437"/>
      <c r="AB279" s="437"/>
      <c r="AC279" s="437"/>
      <c r="AD279" s="437"/>
      <c r="AE279" s="437"/>
      <c r="AF279" s="437"/>
      <c r="AG279" s="437"/>
      <c r="AH279" s="437"/>
      <c r="AI279" s="437"/>
      <c r="AJ279" s="437"/>
      <c r="AK279" s="437"/>
      <c r="AL279" s="437"/>
      <c r="AM279" s="437"/>
      <c r="AN279" s="437"/>
      <c r="AO279" s="437"/>
      <c r="AP279" s="437"/>
      <c r="AQ279" s="437"/>
      <c r="AR279" s="437"/>
      <c r="AS279" s="437"/>
      <c r="AT279" s="437"/>
      <c r="AU279" s="437"/>
      <c r="AV279" s="437"/>
    </row>
    <row r="280" spans="27:48" x14ac:dyDescent="0.25">
      <c r="AA280" s="437"/>
      <c r="AB280" s="437"/>
      <c r="AC280" s="437"/>
      <c r="AD280" s="437"/>
      <c r="AE280" s="437"/>
      <c r="AF280" s="437"/>
      <c r="AG280" s="437"/>
      <c r="AH280" s="437"/>
      <c r="AI280" s="437"/>
      <c r="AJ280" s="437"/>
      <c r="AK280" s="437"/>
      <c r="AL280" s="437"/>
      <c r="AM280" s="437"/>
      <c r="AN280" s="437"/>
      <c r="AO280" s="437"/>
      <c r="AP280" s="437"/>
      <c r="AQ280" s="437"/>
      <c r="AR280" s="437"/>
      <c r="AS280" s="437"/>
      <c r="AT280" s="437"/>
      <c r="AU280" s="437"/>
      <c r="AV280" s="437"/>
    </row>
    <row r="281" spans="27:48" x14ac:dyDescent="0.25">
      <c r="AA281" s="437"/>
      <c r="AB281" s="437"/>
      <c r="AC281" s="437"/>
      <c r="AD281" s="437"/>
      <c r="AE281" s="437"/>
      <c r="AF281" s="437"/>
      <c r="AG281" s="437"/>
      <c r="AH281" s="437"/>
      <c r="AI281" s="437"/>
      <c r="AJ281" s="437"/>
      <c r="AK281" s="437"/>
      <c r="AL281" s="437"/>
      <c r="AM281" s="437"/>
      <c r="AN281" s="437"/>
      <c r="AO281" s="437"/>
      <c r="AP281" s="437"/>
      <c r="AQ281" s="437"/>
      <c r="AR281" s="437"/>
      <c r="AS281" s="437"/>
      <c r="AT281" s="437"/>
      <c r="AU281" s="437"/>
      <c r="AV281" s="437"/>
    </row>
    <row r="282" spans="27:48" x14ac:dyDescent="0.25">
      <c r="AA282" s="437"/>
      <c r="AB282" s="437"/>
      <c r="AC282" s="437"/>
      <c r="AD282" s="437"/>
      <c r="AE282" s="437"/>
      <c r="AF282" s="437"/>
      <c r="AG282" s="437"/>
      <c r="AH282" s="437"/>
      <c r="AI282" s="437"/>
      <c r="AJ282" s="437"/>
      <c r="AK282" s="437"/>
      <c r="AL282" s="437"/>
      <c r="AM282" s="437"/>
      <c r="AN282" s="437"/>
      <c r="AO282" s="437"/>
      <c r="AP282" s="437"/>
      <c r="AQ282" s="437"/>
      <c r="AR282" s="437"/>
      <c r="AS282" s="437"/>
      <c r="AT282" s="437"/>
      <c r="AU282" s="437"/>
      <c r="AV282" s="437"/>
    </row>
    <row r="283" spans="27:48" x14ac:dyDescent="0.25">
      <c r="AA283" s="437"/>
      <c r="AB283" s="437"/>
      <c r="AC283" s="437"/>
      <c r="AD283" s="437"/>
      <c r="AE283" s="437"/>
      <c r="AF283" s="437"/>
      <c r="AG283" s="437"/>
      <c r="AH283" s="437"/>
      <c r="AI283" s="437"/>
      <c r="AJ283" s="437"/>
      <c r="AK283" s="437"/>
      <c r="AL283" s="437"/>
      <c r="AM283" s="437"/>
      <c r="AN283" s="437"/>
      <c r="AO283" s="437"/>
      <c r="AP283" s="437"/>
      <c r="AQ283" s="437"/>
      <c r="AR283" s="437"/>
      <c r="AS283" s="437"/>
      <c r="AT283" s="437"/>
      <c r="AU283" s="437"/>
      <c r="AV283" s="437"/>
    </row>
    <row r="284" spans="27:48" x14ac:dyDescent="0.25">
      <c r="AA284" s="437"/>
      <c r="AB284" s="437"/>
      <c r="AC284" s="437"/>
      <c r="AD284" s="437"/>
      <c r="AE284" s="437"/>
      <c r="AF284" s="437"/>
      <c r="AG284" s="437"/>
      <c r="AH284" s="437"/>
      <c r="AI284" s="437"/>
      <c r="AJ284" s="437"/>
      <c r="AK284" s="437"/>
      <c r="AL284" s="437"/>
      <c r="AM284" s="437"/>
      <c r="AN284" s="437"/>
      <c r="AO284" s="437"/>
      <c r="AP284" s="437"/>
      <c r="AQ284" s="437"/>
      <c r="AR284" s="437"/>
      <c r="AS284" s="437"/>
      <c r="AT284" s="437"/>
      <c r="AU284" s="437"/>
      <c r="AV284" s="437"/>
    </row>
    <row r="285" spans="27:48" x14ac:dyDescent="0.25">
      <c r="AA285" s="437"/>
      <c r="AB285" s="437"/>
      <c r="AC285" s="437"/>
      <c r="AD285" s="437"/>
      <c r="AE285" s="437"/>
      <c r="AF285" s="437"/>
      <c r="AG285" s="437"/>
      <c r="AH285" s="437"/>
      <c r="AI285" s="437"/>
      <c r="AJ285" s="437"/>
      <c r="AK285" s="437"/>
      <c r="AL285" s="437"/>
      <c r="AM285" s="437"/>
      <c r="AN285" s="437"/>
      <c r="AO285" s="437"/>
      <c r="AP285" s="437"/>
      <c r="AQ285" s="437"/>
      <c r="AR285" s="437"/>
      <c r="AS285" s="437"/>
      <c r="AT285" s="437"/>
      <c r="AU285" s="437"/>
      <c r="AV285" s="437"/>
    </row>
    <row r="286" spans="27:48" x14ac:dyDescent="0.25">
      <c r="AA286" s="437"/>
      <c r="AB286" s="437"/>
      <c r="AC286" s="437"/>
      <c r="AD286" s="437"/>
      <c r="AE286" s="437"/>
      <c r="AF286" s="437"/>
      <c r="AG286" s="437"/>
      <c r="AH286" s="437"/>
      <c r="AI286" s="437"/>
      <c r="AJ286" s="437"/>
      <c r="AK286" s="437"/>
      <c r="AL286" s="437"/>
      <c r="AM286" s="437"/>
      <c r="AN286" s="437"/>
      <c r="AO286" s="437"/>
      <c r="AP286" s="437"/>
      <c r="AQ286" s="437"/>
      <c r="AR286" s="437"/>
      <c r="AS286" s="437"/>
      <c r="AT286" s="437"/>
      <c r="AU286" s="437"/>
      <c r="AV286" s="437"/>
    </row>
    <row r="287" spans="27:48" x14ac:dyDescent="0.25">
      <c r="AA287" s="437"/>
      <c r="AB287" s="437"/>
      <c r="AC287" s="437"/>
      <c r="AD287" s="437"/>
      <c r="AE287" s="437"/>
      <c r="AF287" s="437"/>
      <c r="AG287" s="437"/>
      <c r="AH287" s="437"/>
      <c r="AI287" s="437"/>
      <c r="AJ287" s="437"/>
      <c r="AK287" s="437"/>
      <c r="AL287" s="437"/>
      <c r="AM287" s="437"/>
      <c r="AN287" s="437"/>
      <c r="AO287" s="437"/>
      <c r="AP287" s="437"/>
      <c r="AQ287" s="437"/>
      <c r="AR287" s="437"/>
      <c r="AS287" s="437"/>
      <c r="AT287" s="437"/>
      <c r="AU287" s="437"/>
      <c r="AV287" s="437"/>
    </row>
    <row r="288" spans="27:48" x14ac:dyDescent="0.25">
      <c r="AA288" s="437"/>
      <c r="AB288" s="437"/>
      <c r="AC288" s="437"/>
      <c r="AD288" s="437"/>
      <c r="AE288" s="437"/>
      <c r="AF288" s="437"/>
      <c r="AG288" s="437"/>
      <c r="AH288" s="437"/>
      <c r="AI288" s="437"/>
      <c r="AJ288" s="437"/>
      <c r="AK288" s="437"/>
      <c r="AL288" s="437"/>
      <c r="AM288" s="437"/>
      <c r="AN288" s="437"/>
      <c r="AO288" s="437"/>
      <c r="AP288" s="437"/>
      <c r="AQ288" s="437"/>
      <c r="AR288" s="437"/>
      <c r="AS288" s="437"/>
      <c r="AT288" s="437"/>
      <c r="AU288" s="437"/>
      <c r="AV288" s="437"/>
    </row>
    <row r="289" spans="27:48" x14ac:dyDescent="0.25">
      <c r="AA289" s="437"/>
      <c r="AB289" s="437"/>
      <c r="AC289" s="437"/>
      <c r="AD289" s="437"/>
      <c r="AE289" s="437"/>
      <c r="AF289" s="437"/>
      <c r="AG289" s="437"/>
      <c r="AH289" s="437"/>
      <c r="AI289" s="437"/>
      <c r="AJ289" s="437"/>
      <c r="AK289" s="437"/>
      <c r="AL289" s="437"/>
      <c r="AM289" s="437"/>
      <c r="AN289" s="437"/>
      <c r="AO289" s="437"/>
      <c r="AP289" s="437"/>
      <c r="AQ289" s="437"/>
      <c r="AR289" s="437"/>
      <c r="AS289" s="437"/>
      <c r="AT289" s="437"/>
      <c r="AU289" s="437"/>
      <c r="AV289" s="437"/>
    </row>
    <row r="290" spans="27:48" x14ac:dyDescent="0.25">
      <c r="AA290" s="437"/>
      <c r="AB290" s="437"/>
      <c r="AC290" s="437"/>
      <c r="AD290" s="437"/>
      <c r="AE290" s="437"/>
      <c r="AF290" s="437"/>
      <c r="AG290" s="437"/>
      <c r="AH290" s="437"/>
      <c r="AI290" s="437"/>
      <c r="AJ290" s="437"/>
      <c r="AK290" s="437"/>
      <c r="AL290" s="437"/>
      <c r="AM290" s="437"/>
      <c r="AN290" s="437"/>
      <c r="AO290" s="437"/>
      <c r="AP290" s="437"/>
      <c r="AQ290" s="437"/>
      <c r="AR290" s="437"/>
      <c r="AS290" s="437"/>
      <c r="AT290" s="437"/>
      <c r="AU290" s="437"/>
      <c r="AV290" s="437"/>
    </row>
    <row r="291" spans="27:48" x14ac:dyDescent="0.25">
      <c r="AA291" s="437"/>
      <c r="AB291" s="437"/>
      <c r="AC291" s="437"/>
      <c r="AD291" s="437"/>
      <c r="AE291" s="437"/>
      <c r="AF291" s="437"/>
      <c r="AG291" s="437"/>
      <c r="AH291" s="437"/>
      <c r="AI291" s="437"/>
      <c r="AJ291" s="437"/>
      <c r="AK291" s="437"/>
      <c r="AL291" s="437"/>
      <c r="AM291" s="437"/>
      <c r="AN291" s="437"/>
      <c r="AO291" s="437"/>
      <c r="AP291" s="437"/>
      <c r="AQ291" s="437"/>
      <c r="AR291" s="437"/>
      <c r="AS291" s="437"/>
      <c r="AT291" s="437"/>
      <c r="AU291" s="437"/>
      <c r="AV291" s="437"/>
    </row>
    <row r="292" spans="27:48" x14ac:dyDescent="0.25">
      <c r="AA292" s="437"/>
      <c r="AB292" s="437"/>
      <c r="AC292" s="437"/>
      <c r="AD292" s="437"/>
      <c r="AE292" s="437"/>
      <c r="AF292" s="437"/>
      <c r="AG292" s="437"/>
      <c r="AH292" s="437"/>
      <c r="AI292" s="437"/>
      <c r="AJ292" s="437"/>
      <c r="AK292" s="437"/>
      <c r="AL292" s="437"/>
      <c r="AM292" s="437"/>
      <c r="AN292" s="437"/>
      <c r="AO292" s="437"/>
      <c r="AP292" s="437"/>
      <c r="AQ292" s="437"/>
      <c r="AR292" s="437"/>
      <c r="AS292" s="437"/>
      <c r="AT292" s="437"/>
      <c r="AU292" s="437"/>
      <c r="AV292" s="437"/>
    </row>
    <row r="293" spans="27:48" x14ac:dyDescent="0.25">
      <c r="AA293" s="437"/>
      <c r="AB293" s="437"/>
      <c r="AC293" s="437"/>
      <c r="AD293" s="437"/>
      <c r="AE293" s="437"/>
      <c r="AF293" s="437"/>
      <c r="AG293" s="437"/>
      <c r="AH293" s="437"/>
      <c r="AI293" s="437"/>
      <c r="AJ293" s="437"/>
      <c r="AK293" s="437"/>
      <c r="AL293" s="437"/>
      <c r="AM293" s="437"/>
      <c r="AN293" s="437"/>
      <c r="AO293" s="437"/>
      <c r="AP293" s="437"/>
      <c r="AQ293" s="437"/>
      <c r="AR293" s="437"/>
      <c r="AS293" s="437"/>
      <c r="AT293" s="437"/>
      <c r="AU293" s="437"/>
      <c r="AV293" s="437"/>
    </row>
    <row r="294" spans="27:48" x14ac:dyDescent="0.25">
      <c r="AA294" s="437"/>
      <c r="AB294" s="437"/>
      <c r="AC294" s="437"/>
      <c r="AD294" s="437"/>
      <c r="AE294" s="437"/>
      <c r="AF294" s="437"/>
      <c r="AG294" s="437"/>
      <c r="AH294" s="437"/>
      <c r="AI294" s="437"/>
      <c r="AJ294" s="437"/>
      <c r="AK294" s="437"/>
      <c r="AL294" s="437"/>
      <c r="AM294" s="437"/>
      <c r="AN294" s="437"/>
      <c r="AO294" s="437"/>
      <c r="AP294" s="437"/>
      <c r="AQ294" s="437"/>
      <c r="AR294" s="437"/>
      <c r="AS294" s="437"/>
      <c r="AT294" s="437"/>
      <c r="AU294" s="437"/>
      <c r="AV294" s="437"/>
    </row>
    <row r="295" spans="27:48" x14ac:dyDescent="0.25">
      <c r="AA295" s="437"/>
      <c r="AB295" s="437"/>
      <c r="AC295" s="437"/>
      <c r="AD295" s="437"/>
      <c r="AE295" s="437"/>
      <c r="AF295" s="437"/>
      <c r="AG295" s="437"/>
      <c r="AH295" s="437"/>
      <c r="AI295" s="437"/>
      <c r="AJ295" s="437"/>
      <c r="AK295" s="437"/>
      <c r="AL295" s="437"/>
      <c r="AM295" s="437"/>
      <c r="AN295" s="437"/>
      <c r="AO295" s="437"/>
      <c r="AP295" s="437"/>
      <c r="AQ295" s="437"/>
      <c r="AR295" s="437"/>
      <c r="AS295" s="437"/>
      <c r="AT295" s="437"/>
      <c r="AU295" s="437"/>
      <c r="AV295" s="437"/>
    </row>
    <row r="296" spans="27:48" x14ac:dyDescent="0.25">
      <c r="AA296" s="437"/>
      <c r="AB296" s="437"/>
      <c r="AC296" s="437"/>
      <c r="AD296" s="437"/>
      <c r="AE296" s="437"/>
      <c r="AF296" s="437"/>
      <c r="AG296" s="437"/>
      <c r="AH296" s="437"/>
      <c r="AI296" s="437"/>
      <c r="AJ296" s="437"/>
      <c r="AK296" s="437"/>
      <c r="AL296" s="437"/>
      <c r="AM296" s="437"/>
      <c r="AN296" s="437"/>
      <c r="AO296" s="437"/>
      <c r="AP296" s="437"/>
      <c r="AQ296" s="437"/>
      <c r="AR296" s="437"/>
      <c r="AS296" s="437"/>
      <c r="AT296" s="437"/>
      <c r="AU296" s="437"/>
      <c r="AV296" s="437"/>
    </row>
    <row r="297" spans="27:48" x14ac:dyDescent="0.25">
      <c r="AA297" s="437"/>
      <c r="AB297" s="437"/>
      <c r="AC297" s="437"/>
      <c r="AD297" s="437"/>
      <c r="AE297" s="437"/>
      <c r="AF297" s="437"/>
      <c r="AG297" s="437"/>
      <c r="AH297" s="437"/>
      <c r="AI297" s="437"/>
      <c r="AJ297" s="437"/>
      <c r="AK297" s="437"/>
      <c r="AL297" s="437"/>
      <c r="AM297" s="437"/>
      <c r="AN297" s="437"/>
      <c r="AO297" s="437"/>
      <c r="AP297" s="437"/>
      <c r="AQ297" s="437"/>
      <c r="AR297" s="437"/>
      <c r="AS297" s="437"/>
      <c r="AT297" s="437"/>
      <c r="AU297" s="437"/>
      <c r="AV297" s="437"/>
    </row>
    <row r="298" spans="27:48" x14ac:dyDescent="0.25">
      <c r="AA298" s="437"/>
      <c r="AB298" s="437"/>
      <c r="AC298" s="437"/>
      <c r="AD298" s="437"/>
      <c r="AE298" s="437"/>
      <c r="AF298" s="437"/>
      <c r="AG298" s="437"/>
      <c r="AH298" s="437"/>
      <c r="AI298" s="437"/>
      <c r="AJ298" s="437"/>
      <c r="AK298" s="437"/>
      <c r="AL298" s="437"/>
      <c r="AM298" s="437"/>
      <c r="AN298" s="437"/>
      <c r="AO298" s="437"/>
      <c r="AP298" s="437"/>
      <c r="AQ298" s="437"/>
      <c r="AR298" s="437"/>
      <c r="AS298" s="437"/>
      <c r="AT298" s="437"/>
      <c r="AU298" s="437"/>
      <c r="AV298" s="437"/>
    </row>
    <row r="299" spans="27:48" x14ac:dyDescent="0.25">
      <c r="AA299" s="437"/>
      <c r="AB299" s="437"/>
      <c r="AC299" s="437"/>
      <c r="AD299" s="437"/>
      <c r="AE299" s="437"/>
      <c r="AF299" s="437"/>
      <c r="AG299" s="437"/>
      <c r="AH299" s="437"/>
      <c r="AI299" s="437"/>
      <c r="AJ299" s="437"/>
      <c r="AK299" s="437"/>
      <c r="AL299" s="437"/>
      <c r="AM299" s="437"/>
      <c r="AN299" s="437"/>
      <c r="AO299" s="437"/>
      <c r="AP299" s="437"/>
      <c r="AQ299" s="437"/>
      <c r="AR299" s="437"/>
      <c r="AS299" s="437"/>
      <c r="AT299" s="437"/>
      <c r="AU299" s="437"/>
      <c r="AV299" s="437"/>
    </row>
    <row r="300" spans="27:48" x14ac:dyDescent="0.25">
      <c r="AA300" s="437"/>
      <c r="AB300" s="437"/>
      <c r="AC300" s="437"/>
      <c r="AD300" s="437"/>
      <c r="AE300" s="437"/>
      <c r="AF300" s="437"/>
      <c r="AG300" s="437"/>
      <c r="AH300" s="437"/>
      <c r="AI300" s="437"/>
      <c r="AJ300" s="437"/>
      <c r="AK300" s="437"/>
      <c r="AL300" s="437"/>
      <c r="AM300" s="437"/>
      <c r="AN300" s="437"/>
      <c r="AO300" s="437"/>
      <c r="AP300" s="437"/>
      <c r="AQ300" s="437"/>
      <c r="AR300" s="437"/>
      <c r="AS300" s="437"/>
      <c r="AT300" s="437"/>
      <c r="AU300" s="437"/>
      <c r="AV300" s="437"/>
    </row>
    <row r="301" spans="27:48" x14ac:dyDescent="0.25">
      <c r="AA301" s="437"/>
      <c r="AB301" s="437"/>
      <c r="AC301" s="437"/>
      <c r="AD301" s="437"/>
      <c r="AE301" s="437"/>
      <c r="AF301" s="437"/>
      <c r="AG301" s="437"/>
      <c r="AH301" s="437"/>
      <c r="AI301" s="437"/>
      <c r="AJ301" s="437"/>
      <c r="AK301" s="437"/>
      <c r="AL301" s="437"/>
      <c r="AM301" s="437"/>
      <c r="AN301" s="437"/>
      <c r="AO301" s="437"/>
      <c r="AP301" s="437"/>
      <c r="AQ301" s="437"/>
      <c r="AR301" s="437"/>
      <c r="AS301" s="437"/>
      <c r="AT301" s="437"/>
      <c r="AU301" s="437"/>
      <c r="AV301" s="437"/>
    </row>
    <row r="302" spans="27:48" x14ac:dyDescent="0.25">
      <c r="AA302" s="437"/>
      <c r="AB302" s="437"/>
      <c r="AC302" s="437"/>
      <c r="AD302" s="437"/>
      <c r="AE302" s="437"/>
      <c r="AF302" s="437"/>
      <c r="AG302" s="437"/>
      <c r="AH302" s="437"/>
      <c r="AI302" s="437"/>
      <c r="AJ302" s="437"/>
      <c r="AK302" s="437"/>
      <c r="AL302" s="437"/>
      <c r="AM302" s="437"/>
      <c r="AN302" s="437"/>
      <c r="AO302" s="437"/>
      <c r="AP302" s="437"/>
      <c r="AQ302" s="437"/>
      <c r="AR302" s="437"/>
      <c r="AS302" s="437"/>
      <c r="AT302" s="437"/>
      <c r="AU302" s="437"/>
      <c r="AV302" s="437"/>
    </row>
    <row r="303" spans="27:48" x14ac:dyDescent="0.25">
      <c r="AA303" s="437"/>
      <c r="AB303" s="437"/>
      <c r="AC303" s="437"/>
      <c r="AD303" s="437"/>
      <c r="AE303" s="437"/>
      <c r="AF303" s="437"/>
      <c r="AG303" s="437"/>
      <c r="AH303" s="437"/>
      <c r="AI303" s="437"/>
      <c r="AJ303" s="437"/>
      <c r="AK303" s="437"/>
      <c r="AL303" s="437"/>
      <c r="AM303" s="437"/>
      <c r="AN303" s="437"/>
      <c r="AO303" s="437"/>
      <c r="AP303" s="437"/>
      <c r="AQ303" s="437"/>
      <c r="AR303" s="437"/>
      <c r="AS303" s="437"/>
      <c r="AT303" s="437"/>
      <c r="AU303" s="437"/>
      <c r="AV303" s="437"/>
    </row>
    <row r="304" spans="27:48" x14ac:dyDescent="0.25">
      <c r="AA304" s="437"/>
      <c r="AB304" s="437"/>
      <c r="AC304" s="437"/>
      <c r="AD304" s="437"/>
      <c r="AE304" s="437"/>
      <c r="AF304" s="437"/>
      <c r="AG304" s="437"/>
      <c r="AH304" s="437"/>
      <c r="AI304" s="437"/>
      <c r="AJ304" s="437"/>
      <c r="AK304" s="437"/>
      <c r="AL304" s="437"/>
      <c r="AM304" s="437"/>
      <c r="AN304" s="437"/>
      <c r="AO304" s="437"/>
      <c r="AP304" s="437"/>
      <c r="AQ304" s="437"/>
      <c r="AR304" s="437"/>
      <c r="AS304" s="437"/>
      <c r="AT304" s="437"/>
      <c r="AU304" s="437"/>
      <c r="AV304" s="437"/>
    </row>
    <row r="305" spans="27:48" x14ac:dyDescent="0.25">
      <c r="AA305" s="437"/>
      <c r="AB305" s="437"/>
      <c r="AC305" s="437"/>
      <c r="AD305" s="437"/>
      <c r="AE305" s="437"/>
      <c r="AF305" s="437"/>
      <c r="AG305" s="437"/>
      <c r="AH305" s="437"/>
      <c r="AI305" s="437"/>
      <c r="AJ305" s="437"/>
      <c r="AK305" s="437"/>
      <c r="AL305" s="437"/>
      <c r="AM305" s="437"/>
      <c r="AN305" s="437"/>
      <c r="AO305" s="437"/>
      <c r="AP305" s="437"/>
      <c r="AQ305" s="437"/>
      <c r="AR305" s="437"/>
      <c r="AS305" s="437"/>
      <c r="AT305" s="437"/>
      <c r="AU305" s="437"/>
      <c r="AV305" s="437"/>
    </row>
    <row r="306" spans="27:48" x14ac:dyDescent="0.25">
      <c r="AA306" s="437"/>
      <c r="AB306" s="437"/>
      <c r="AC306" s="437"/>
      <c r="AD306" s="437"/>
      <c r="AE306" s="437"/>
      <c r="AF306" s="437"/>
      <c r="AG306" s="437"/>
      <c r="AH306" s="437"/>
      <c r="AI306" s="437"/>
      <c r="AJ306" s="437"/>
      <c r="AK306" s="437"/>
      <c r="AL306" s="437"/>
      <c r="AM306" s="437"/>
      <c r="AN306" s="437"/>
      <c r="AO306" s="437"/>
      <c r="AP306" s="437"/>
      <c r="AQ306" s="437"/>
      <c r="AR306" s="437"/>
      <c r="AS306" s="437"/>
      <c r="AT306" s="437"/>
      <c r="AU306" s="437"/>
      <c r="AV306" s="437"/>
    </row>
    <row r="307" spans="27:48" x14ac:dyDescent="0.25">
      <c r="AA307" s="437"/>
      <c r="AB307" s="437"/>
      <c r="AC307" s="437"/>
      <c r="AD307" s="437"/>
      <c r="AE307" s="437"/>
      <c r="AF307" s="437"/>
      <c r="AG307" s="437"/>
      <c r="AH307" s="437"/>
      <c r="AI307" s="437"/>
      <c r="AJ307" s="437"/>
      <c r="AK307" s="437"/>
      <c r="AL307" s="437"/>
      <c r="AM307" s="437"/>
      <c r="AN307" s="437"/>
      <c r="AO307" s="437"/>
      <c r="AP307" s="437"/>
      <c r="AQ307" s="437"/>
      <c r="AR307" s="437"/>
      <c r="AS307" s="437"/>
      <c r="AT307" s="437"/>
      <c r="AU307" s="437"/>
      <c r="AV307" s="437"/>
    </row>
    <row r="308" spans="27:48" x14ac:dyDescent="0.25">
      <c r="AA308" s="437"/>
      <c r="AB308" s="437"/>
      <c r="AC308" s="437"/>
      <c r="AD308" s="437"/>
      <c r="AE308" s="437"/>
      <c r="AF308" s="437"/>
      <c r="AG308" s="437"/>
      <c r="AH308" s="437"/>
      <c r="AI308" s="437"/>
      <c r="AJ308" s="437"/>
      <c r="AK308" s="437"/>
      <c r="AL308" s="437"/>
      <c r="AM308" s="437"/>
      <c r="AN308" s="437"/>
      <c r="AO308" s="437"/>
      <c r="AP308" s="437"/>
      <c r="AQ308" s="437"/>
      <c r="AR308" s="437"/>
      <c r="AS308" s="437"/>
      <c r="AT308" s="437"/>
      <c r="AU308" s="437"/>
      <c r="AV308" s="437"/>
    </row>
    <row r="309" spans="27:48" x14ac:dyDescent="0.25">
      <c r="AA309" s="437"/>
      <c r="AB309" s="437"/>
      <c r="AC309" s="437"/>
      <c r="AD309" s="437"/>
      <c r="AE309" s="437"/>
      <c r="AF309" s="437"/>
      <c r="AG309" s="437"/>
      <c r="AH309" s="437"/>
      <c r="AI309" s="437"/>
      <c r="AJ309" s="437"/>
      <c r="AK309" s="437"/>
      <c r="AL309" s="437"/>
      <c r="AM309" s="437"/>
      <c r="AN309" s="437"/>
      <c r="AO309" s="437"/>
      <c r="AP309" s="437"/>
      <c r="AQ309" s="437"/>
      <c r="AR309" s="437"/>
      <c r="AS309" s="437"/>
      <c r="AT309" s="437"/>
      <c r="AU309" s="437"/>
      <c r="AV309" s="437"/>
    </row>
    <row r="310" spans="27:48" x14ac:dyDescent="0.25">
      <c r="AA310" s="437"/>
      <c r="AB310" s="437"/>
      <c r="AC310" s="437"/>
      <c r="AD310" s="437"/>
      <c r="AE310" s="437"/>
      <c r="AF310" s="437"/>
      <c r="AG310" s="437"/>
      <c r="AH310" s="437"/>
      <c r="AI310" s="437"/>
      <c r="AJ310" s="437"/>
      <c r="AK310" s="437"/>
      <c r="AL310" s="437"/>
      <c r="AM310" s="437"/>
      <c r="AN310" s="437"/>
      <c r="AO310" s="437"/>
      <c r="AP310" s="437"/>
      <c r="AQ310" s="437"/>
      <c r="AR310" s="437"/>
      <c r="AS310" s="437"/>
      <c r="AT310" s="437"/>
      <c r="AU310" s="437"/>
      <c r="AV310" s="437"/>
    </row>
    <row r="311" spans="27:48" x14ac:dyDescent="0.25">
      <c r="AA311" s="437"/>
      <c r="AB311" s="437"/>
      <c r="AC311" s="437"/>
      <c r="AD311" s="437"/>
      <c r="AE311" s="437"/>
      <c r="AF311" s="437"/>
      <c r="AG311" s="437"/>
      <c r="AH311" s="437"/>
      <c r="AI311" s="437"/>
      <c r="AJ311" s="437"/>
      <c r="AK311" s="437"/>
      <c r="AL311" s="437"/>
      <c r="AM311" s="437"/>
      <c r="AN311" s="437"/>
      <c r="AO311" s="437"/>
      <c r="AP311" s="437"/>
      <c r="AQ311" s="437"/>
      <c r="AR311" s="437"/>
      <c r="AS311" s="437"/>
      <c r="AT311" s="437"/>
      <c r="AU311" s="437"/>
      <c r="AV311" s="437"/>
    </row>
    <row r="312" spans="27:48" x14ac:dyDescent="0.25">
      <c r="AA312" s="437"/>
      <c r="AB312" s="437"/>
      <c r="AC312" s="437"/>
      <c r="AD312" s="437"/>
      <c r="AE312" s="437"/>
      <c r="AF312" s="437"/>
      <c r="AG312" s="437"/>
      <c r="AH312" s="437"/>
      <c r="AI312" s="437"/>
      <c r="AJ312" s="437"/>
      <c r="AK312" s="437"/>
      <c r="AL312" s="437"/>
      <c r="AM312" s="437"/>
      <c r="AN312" s="437"/>
      <c r="AO312" s="437"/>
      <c r="AP312" s="437"/>
      <c r="AQ312" s="437"/>
      <c r="AR312" s="437"/>
      <c r="AS312" s="437"/>
      <c r="AT312" s="437"/>
      <c r="AU312" s="437"/>
      <c r="AV312" s="437"/>
    </row>
    <row r="313" spans="27:48" x14ac:dyDescent="0.25">
      <c r="AA313" s="437"/>
      <c r="AB313" s="437"/>
      <c r="AC313" s="437"/>
      <c r="AD313" s="437"/>
      <c r="AE313" s="437"/>
      <c r="AF313" s="437"/>
      <c r="AG313" s="437"/>
      <c r="AH313" s="437"/>
      <c r="AI313" s="437"/>
      <c r="AJ313" s="437"/>
      <c r="AK313" s="437"/>
      <c r="AL313" s="437"/>
      <c r="AM313" s="437"/>
      <c r="AN313" s="437"/>
      <c r="AO313" s="437"/>
      <c r="AP313" s="437"/>
      <c r="AQ313" s="437"/>
      <c r="AR313" s="437"/>
      <c r="AS313" s="437"/>
      <c r="AT313" s="437"/>
      <c r="AU313" s="437"/>
      <c r="AV313" s="437"/>
    </row>
    <row r="314" spans="27:48" x14ac:dyDescent="0.25">
      <c r="AA314" s="437"/>
      <c r="AB314" s="437"/>
      <c r="AC314" s="437"/>
      <c r="AD314" s="437"/>
      <c r="AE314" s="437"/>
      <c r="AF314" s="437"/>
      <c r="AG314" s="437"/>
      <c r="AH314" s="437"/>
      <c r="AI314" s="437"/>
      <c r="AJ314" s="437"/>
      <c r="AK314" s="437"/>
      <c r="AL314" s="437"/>
      <c r="AM314" s="437"/>
      <c r="AN314" s="437"/>
      <c r="AO314" s="437"/>
      <c r="AP314" s="437"/>
      <c r="AQ314" s="437"/>
      <c r="AR314" s="437"/>
      <c r="AS314" s="437"/>
      <c r="AT314" s="437"/>
      <c r="AU314" s="437"/>
      <c r="AV314" s="437"/>
    </row>
    <row r="315" spans="27:48" x14ac:dyDescent="0.25">
      <c r="AA315" s="437"/>
      <c r="AB315" s="437"/>
      <c r="AC315" s="437"/>
      <c r="AD315" s="437"/>
      <c r="AE315" s="437"/>
      <c r="AF315" s="437"/>
      <c r="AG315" s="437"/>
      <c r="AH315" s="437"/>
      <c r="AI315" s="437"/>
      <c r="AJ315" s="437"/>
      <c r="AK315" s="437"/>
      <c r="AL315" s="437"/>
      <c r="AM315" s="437"/>
      <c r="AN315" s="437"/>
      <c r="AO315" s="437"/>
      <c r="AP315" s="437"/>
      <c r="AQ315" s="437"/>
      <c r="AR315" s="437"/>
      <c r="AS315" s="437"/>
      <c r="AT315" s="437"/>
      <c r="AU315" s="437"/>
      <c r="AV315" s="437"/>
    </row>
    <row r="316" spans="27:48" x14ac:dyDescent="0.25">
      <c r="AA316" s="437"/>
      <c r="AB316" s="437"/>
      <c r="AC316" s="437"/>
      <c r="AD316" s="437"/>
      <c r="AE316" s="437"/>
      <c r="AF316" s="437"/>
      <c r="AG316" s="437"/>
      <c r="AH316" s="437"/>
      <c r="AI316" s="437"/>
      <c r="AJ316" s="437"/>
      <c r="AK316" s="437"/>
      <c r="AL316" s="437"/>
      <c r="AM316" s="437"/>
      <c r="AN316" s="437"/>
      <c r="AO316" s="437"/>
      <c r="AP316" s="437"/>
      <c r="AQ316" s="437"/>
      <c r="AR316" s="437"/>
      <c r="AS316" s="437"/>
      <c r="AT316" s="437"/>
      <c r="AU316" s="437"/>
      <c r="AV316" s="437"/>
    </row>
    <row r="317" spans="27:48" x14ac:dyDescent="0.25">
      <c r="AA317" s="437"/>
      <c r="AB317" s="437"/>
      <c r="AC317" s="437"/>
      <c r="AD317" s="437"/>
      <c r="AE317" s="437"/>
      <c r="AF317" s="437"/>
      <c r="AG317" s="437"/>
      <c r="AH317" s="437"/>
      <c r="AI317" s="437"/>
      <c r="AJ317" s="437"/>
      <c r="AK317" s="437"/>
      <c r="AL317" s="437"/>
      <c r="AM317" s="437"/>
      <c r="AN317" s="437"/>
      <c r="AO317" s="437"/>
      <c r="AP317" s="437"/>
      <c r="AQ317" s="437"/>
      <c r="AR317" s="437"/>
      <c r="AS317" s="437"/>
      <c r="AT317" s="437"/>
      <c r="AU317" s="437"/>
      <c r="AV317" s="437"/>
    </row>
    <row r="318" spans="27:48" x14ac:dyDescent="0.25">
      <c r="AA318" s="437"/>
      <c r="AB318" s="437"/>
      <c r="AC318" s="437"/>
      <c r="AD318" s="437"/>
      <c r="AE318" s="437"/>
      <c r="AF318" s="437"/>
      <c r="AG318" s="437"/>
      <c r="AH318" s="437"/>
      <c r="AI318" s="437"/>
      <c r="AJ318" s="437"/>
      <c r="AK318" s="437"/>
      <c r="AL318" s="437"/>
      <c r="AM318" s="437"/>
      <c r="AN318" s="437"/>
      <c r="AO318" s="437"/>
      <c r="AP318" s="437"/>
      <c r="AQ318" s="437"/>
      <c r="AR318" s="437"/>
      <c r="AS318" s="437"/>
      <c r="AT318" s="437"/>
      <c r="AU318" s="437"/>
      <c r="AV318" s="437"/>
    </row>
    <row r="319" spans="27:48" x14ac:dyDescent="0.25">
      <c r="AA319" s="437"/>
      <c r="AB319" s="437"/>
      <c r="AC319" s="437"/>
      <c r="AD319" s="437"/>
      <c r="AE319" s="437"/>
      <c r="AF319" s="437"/>
      <c r="AG319" s="437"/>
      <c r="AH319" s="437"/>
      <c r="AI319" s="437"/>
      <c r="AJ319" s="437"/>
      <c r="AK319" s="437"/>
      <c r="AL319" s="437"/>
      <c r="AM319" s="437"/>
      <c r="AN319" s="437"/>
      <c r="AO319" s="437"/>
      <c r="AP319" s="437"/>
      <c r="AQ319" s="437"/>
      <c r="AR319" s="437"/>
      <c r="AS319" s="437"/>
      <c r="AT319" s="437"/>
      <c r="AU319" s="437"/>
      <c r="AV319" s="437"/>
    </row>
    <row r="320" spans="27:48" x14ac:dyDescent="0.25">
      <c r="AA320" s="437"/>
      <c r="AB320" s="437"/>
      <c r="AC320" s="437"/>
      <c r="AD320" s="437"/>
      <c r="AE320" s="437"/>
      <c r="AF320" s="437"/>
      <c r="AG320" s="437"/>
      <c r="AH320" s="437"/>
      <c r="AI320" s="437"/>
      <c r="AJ320" s="437"/>
      <c r="AK320" s="437"/>
      <c r="AL320" s="437"/>
      <c r="AM320" s="437"/>
      <c r="AN320" s="437"/>
      <c r="AO320" s="437"/>
      <c r="AP320" s="437"/>
      <c r="AQ320" s="437"/>
      <c r="AR320" s="437"/>
      <c r="AS320" s="437"/>
      <c r="AT320" s="437"/>
      <c r="AU320" s="437"/>
      <c r="AV320" s="437"/>
    </row>
    <row r="321" spans="27:48" x14ac:dyDescent="0.25">
      <c r="AA321" s="437"/>
      <c r="AB321" s="437"/>
      <c r="AC321" s="437"/>
      <c r="AD321" s="437"/>
      <c r="AE321" s="437"/>
      <c r="AF321" s="437"/>
      <c r="AG321" s="437"/>
      <c r="AH321" s="437"/>
      <c r="AI321" s="437"/>
      <c r="AJ321" s="437"/>
      <c r="AK321" s="437"/>
      <c r="AL321" s="437"/>
      <c r="AM321" s="437"/>
      <c r="AN321" s="437"/>
      <c r="AO321" s="437"/>
      <c r="AP321" s="437"/>
      <c r="AQ321" s="437"/>
      <c r="AR321" s="437"/>
      <c r="AS321" s="437"/>
      <c r="AT321" s="437"/>
      <c r="AU321" s="437"/>
      <c r="AV321" s="437"/>
    </row>
    <row r="322" spans="27:48" x14ac:dyDescent="0.25">
      <c r="AA322" s="437"/>
      <c r="AB322" s="437"/>
      <c r="AC322" s="437"/>
      <c r="AD322" s="437"/>
      <c r="AE322" s="437"/>
      <c r="AF322" s="437"/>
      <c r="AG322" s="437"/>
      <c r="AH322" s="437"/>
      <c r="AI322" s="437"/>
      <c r="AJ322" s="437"/>
      <c r="AK322" s="437"/>
      <c r="AL322" s="437"/>
      <c r="AM322" s="437"/>
      <c r="AN322" s="437"/>
      <c r="AO322" s="437"/>
      <c r="AP322" s="437"/>
      <c r="AQ322" s="437"/>
      <c r="AR322" s="437"/>
      <c r="AS322" s="437"/>
      <c r="AT322" s="437"/>
      <c r="AU322" s="437"/>
      <c r="AV322" s="437"/>
    </row>
    <row r="323" spans="27:48" x14ac:dyDescent="0.25">
      <c r="AA323" s="437"/>
      <c r="AB323" s="437"/>
      <c r="AC323" s="437"/>
      <c r="AD323" s="437"/>
      <c r="AE323" s="437"/>
      <c r="AF323" s="437"/>
      <c r="AG323" s="437"/>
      <c r="AH323" s="437"/>
      <c r="AI323" s="437"/>
      <c r="AJ323" s="437"/>
      <c r="AK323" s="437"/>
      <c r="AL323" s="437"/>
      <c r="AM323" s="437"/>
      <c r="AN323" s="437"/>
      <c r="AO323" s="437"/>
      <c r="AP323" s="437"/>
      <c r="AQ323" s="437"/>
      <c r="AR323" s="437"/>
      <c r="AS323" s="437"/>
      <c r="AT323" s="437"/>
      <c r="AU323" s="437"/>
      <c r="AV323" s="437"/>
    </row>
    <row r="324" spans="27:48" x14ac:dyDescent="0.25">
      <c r="AA324" s="437"/>
      <c r="AB324" s="437"/>
      <c r="AC324" s="437"/>
      <c r="AD324" s="437"/>
      <c r="AE324" s="437"/>
      <c r="AF324" s="437"/>
      <c r="AG324" s="437"/>
      <c r="AH324" s="437"/>
      <c r="AI324" s="437"/>
      <c r="AJ324" s="437"/>
      <c r="AK324" s="437"/>
      <c r="AL324" s="437"/>
      <c r="AM324" s="437"/>
      <c r="AN324" s="437"/>
      <c r="AO324" s="437"/>
      <c r="AP324" s="437"/>
      <c r="AQ324" s="437"/>
      <c r="AR324" s="437"/>
      <c r="AS324" s="437"/>
      <c r="AT324" s="437"/>
      <c r="AU324" s="437"/>
      <c r="AV324" s="437"/>
    </row>
    <row r="325" spans="27:48" x14ac:dyDescent="0.25">
      <c r="AA325" s="437"/>
      <c r="AB325" s="437"/>
      <c r="AC325" s="437"/>
      <c r="AD325" s="437"/>
      <c r="AE325" s="437"/>
      <c r="AF325" s="437"/>
      <c r="AG325" s="437"/>
      <c r="AH325" s="437"/>
      <c r="AI325" s="437"/>
      <c r="AJ325" s="437"/>
      <c r="AK325" s="437"/>
      <c r="AL325" s="437"/>
      <c r="AM325" s="437"/>
      <c r="AN325" s="437"/>
      <c r="AO325" s="437"/>
      <c r="AP325" s="437"/>
      <c r="AQ325" s="437"/>
      <c r="AR325" s="437"/>
      <c r="AS325" s="437"/>
      <c r="AT325" s="437"/>
      <c r="AU325" s="437"/>
      <c r="AV325" s="437"/>
    </row>
    <row r="326" spans="27:48" x14ac:dyDescent="0.25">
      <c r="AA326" s="437"/>
      <c r="AB326" s="437"/>
      <c r="AC326" s="437"/>
      <c r="AD326" s="437"/>
      <c r="AE326" s="437"/>
      <c r="AF326" s="437"/>
      <c r="AG326" s="437"/>
      <c r="AH326" s="437"/>
      <c r="AI326" s="437"/>
      <c r="AJ326" s="437"/>
      <c r="AK326" s="437"/>
      <c r="AL326" s="437"/>
      <c r="AM326" s="437"/>
      <c r="AN326" s="437"/>
      <c r="AO326" s="437"/>
      <c r="AP326" s="437"/>
      <c r="AQ326" s="437"/>
      <c r="AR326" s="437"/>
      <c r="AS326" s="437"/>
      <c r="AT326" s="437"/>
      <c r="AU326" s="437"/>
      <c r="AV326" s="437"/>
    </row>
    <row r="327" spans="27:48" x14ac:dyDescent="0.25">
      <c r="AA327" s="437"/>
      <c r="AB327" s="437"/>
      <c r="AC327" s="437"/>
      <c r="AD327" s="437"/>
      <c r="AE327" s="437"/>
      <c r="AF327" s="437"/>
      <c r="AG327" s="437"/>
      <c r="AH327" s="437"/>
      <c r="AI327" s="437"/>
      <c r="AJ327" s="437"/>
      <c r="AK327" s="437"/>
      <c r="AL327" s="437"/>
      <c r="AM327" s="437"/>
      <c r="AN327" s="437"/>
      <c r="AO327" s="437"/>
      <c r="AP327" s="437"/>
      <c r="AQ327" s="437"/>
      <c r="AR327" s="437"/>
      <c r="AS327" s="437"/>
      <c r="AT327" s="437"/>
      <c r="AU327" s="437"/>
      <c r="AV327" s="437"/>
    </row>
    <row r="328" spans="27:48" x14ac:dyDescent="0.25">
      <c r="AA328" s="437"/>
      <c r="AB328" s="437"/>
      <c r="AC328" s="437"/>
      <c r="AD328" s="437"/>
      <c r="AE328" s="437"/>
      <c r="AF328" s="437"/>
      <c r="AG328" s="437"/>
      <c r="AH328" s="437"/>
      <c r="AI328" s="437"/>
      <c r="AJ328" s="437"/>
      <c r="AK328" s="437"/>
      <c r="AL328" s="437"/>
      <c r="AM328" s="437"/>
      <c r="AN328" s="437"/>
      <c r="AO328" s="437"/>
      <c r="AP328" s="437"/>
      <c r="AQ328" s="437"/>
      <c r="AR328" s="437"/>
      <c r="AS328" s="437"/>
      <c r="AT328" s="437"/>
      <c r="AU328" s="437"/>
      <c r="AV328" s="437"/>
    </row>
    <row r="329" spans="27:48" x14ac:dyDescent="0.25">
      <c r="AA329" s="437"/>
      <c r="AB329" s="437"/>
      <c r="AC329" s="437"/>
      <c r="AD329" s="437"/>
      <c r="AE329" s="437"/>
      <c r="AF329" s="437"/>
      <c r="AG329" s="437"/>
      <c r="AH329" s="437"/>
      <c r="AI329" s="437"/>
      <c r="AJ329" s="437"/>
      <c r="AK329" s="437"/>
      <c r="AL329" s="437"/>
      <c r="AM329" s="437"/>
      <c r="AN329" s="437"/>
      <c r="AO329" s="437"/>
      <c r="AP329" s="437"/>
      <c r="AQ329" s="437"/>
      <c r="AR329" s="437"/>
      <c r="AS329" s="437"/>
      <c r="AT329" s="437"/>
      <c r="AU329" s="437"/>
      <c r="AV329" s="437"/>
    </row>
    <row r="330" spans="27:48" x14ac:dyDescent="0.25">
      <c r="AA330" s="437"/>
      <c r="AB330" s="437"/>
      <c r="AC330" s="437"/>
      <c r="AD330" s="437"/>
      <c r="AE330" s="437"/>
      <c r="AF330" s="437"/>
      <c r="AG330" s="437"/>
      <c r="AH330" s="437"/>
      <c r="AI330" s="437"/>
      <c r="AJ330" s="437"/>
      <c r="AK330" s="437"/>
      <c r="AL330" s="437"/>
      <c r="AM330" s="437"/>
      <c r="AN330" s="437"/>
      <c r="AO330" s="437"/>
      <c r="AP330" s="437"/>
      <c r="AQ330" s="437"/>
      <c r="AR330" s="437"/>
      <c r="AS330" s="437"/>
      <c r="AT330" s="437"/>
      <c r="AU330" s="437"/>
      <c r="AV330" s="437"/>
    </row>
    <row r="331" spans="27:48" x14ac:dyDescent="0.25">
      <c r="AA331" s="437"/>
      <c r="AB331" s="437"/>
      <c r="AC331" s="437"/>
      <c r="AD331" s="437"/>
      <c r="AE331" s="437"/>
      <c r="AF331" s="437"/>
      <c r="AG331" s="437"/>
      <c r="AH331" s="437"/>
      <c r="AI331" s="437"/>
      <c r="AJ331" s="437"/>
      <c r="AK331" s="437"/>
      <c r="AL331" s="437"/>
      <c r="AM331" s="437"/>
      <c r="AN331" s="437"/>
      <c r="AO331" s="437"/>
      <c r="AP331" s="437"/>
      <c r="AQ331" s="437"/>
      <c r="AR331" s="437"/>
      <c r="AS331" s="437"/>
      <c r="AT331" s="437"/>
      <c r="AU331" s="437"/>
      <c r="AV331" s="437"/>
    </row>
    <row r="332" spans="27:48" x14ac:dyDescent="0.25">
      <c r="AA332" s="437"/>
      <c r="AB332" s="437"/>
      <c r="AC332" s="437"/>
      <c r="AD332" s="437"/>
      <c r="AE332" s="437"/>
      <c r="AF332" s="437"/>
      <c r="AG332" s="437"/>
      <c r="AH332" s="437"/>
      <c r="AI332" s="437"/>
      <c r="AJ332" s="437"/>
      <c r="AK332" s="437"/>
      <c r="AL332" s="437"/>
      <c r="AM332" s="437"/>
      <c r="AN332" s="437"/>
      <c r="AO332" s="437"/>
      <c r="AP332" s="437"/>
      <c r="AQ332" s="437"/>
      <c r="AR332" s="437"/>
      <c r="AS332" s="437"/>
      <c r="AT332" s="437"/>
      <c r="AU332" s="437"/>
      <c r="AV332" s="437"/>
    </row>
    <row r="333" spans="27:48" x14ac:dyDescent="0.25">
      <c r="AA333" s="437"/>
      <c r="AB333" s="437"/>
      <c r="AC333" s="437"/>
      <c r="AD333" s="437"/>
      <c r="AE333" s="437"/>
      <c r="AF333" s="437"/>
      <c r="AG333" s="437"/>
      <c r="AH333" s="437"/>
      <c r="AI333" s="437"/>
      <c r="AJ333" s="437"/>
      <c r="AK333" s="437"/>
      <c r="AL333" s="437"/>
      <c r="AM333" s="437"/>
      <c r="AN333" s="437"/>
      <c r="AO333" s="437"/>
      <c r="AP333" s="437"/>
      <c r="AQ333" s="437"/>
      <c r="AR333" s="437"/>
      <c r="AS333" s="437"/>
      <c r="AT333" s="437"/>
      <c r="AU333" s="437"/>
      <c r="AV333" s="437"/>
    </row>
    <row r="334" spans="27:48" x14ac:dyDescent="0.25">
      <c r="AA334" s="437"/>
      <c r="AB334" s="437"/>
      <c r="AC334" s="437"/>
      <c r="AD334" s="437"/>
      <c r="AE334" s="437"/>
      <c r="AF334" s="437"/>
      <c r="AG334" s="437"/>
      <c r="AH334" s="437"/>
      <c r="AI334" s="437"/>
      <c r="AJ334" s="437"/>
      <c r="AK334" s="437"/>
      <c r="AL334" s="437"/>
      <c r="AM334" s="437"/>
      <c r="AN334" s="437"/>
      <c r="AO334" s="437"/>
      <c r="AP334" s="437"/>
      <c r="AQ334" s="437"/>
      <c r="AR334" s="437"/>
      <c r="AS334" s="437"/>
      <c r="AT334" s="437"/>
      <c r="AU334" s="437"/>
      <c r="AV334" s="437"/>
    </row>
    <row r="335" spans="27:48" x14ac:dyDescent="0.25">
      <c r="AA335" s="437"/>
      <c r="AB335" s="437"/>
      <c r="AC335" s="437"/>
      <c r="AD335" s="437"/>
      <c r="AE335" s="437"/>
      <c r="AF335" s="437"/>
      <c r="AG335" s="437"/>
      <c r="AH335" s="437"/>
      <c r="AI335" s="437"/>
      <c r="AJ335" s="437"/>
      <c r="AK335" s="437"/>
      <c r="AL335" s="437"/>
      <c r="AM335" s="437"/>
      <c r="AN335" s="437"/>
      <c r="AO335" s="437"/>
      <c r="AP335" s="437"/>
      <c r="AQ335" s="437"/>
      <c r="AR335" s="437"/>
      <c r="AS335" s="437"/>
      <c r="AT335" s="437"/>
      <c r="AU335" s="437"/>
      <c r="AV335" s="437"/>
    </row>
    <row r="336" spans="27:48" x14ac:dyDescent="0.25">
      <c r="AA336" s="437"/>
      <c r="AB336" s="437"/>
      <c r="AC336" s="437"/>
      <c r="AD336" s="437"/>
      <c r="AE336" s="437"/>
      <c r="AF336" s="437"/>
      <c r="AG336" s="437"/>
      <c r="AH336" s="437"/>
      <c r="AI336" s="437"/>
      <c r="AJ336" s="437"/>
      <c r="AK336" s="437"/>
      <c r="AL336" s="437"/>
      <c r="AM336" s="437"/>
      <c r="AN336" s="437"/>
      <c r="AO336" s="437"/>
      <c r="AP336" s="437"/>
      <c r="AQ336" s="437"/>
      <c r="AR336" s="437"/>
      <c r="AS336" s="437"/>
      <c r="AT336" s="437"/>
      <c r="AU336" s="437"/>
      <c r="AV336" s="437"/>
    </row>
    <row r="337" spans="27:48" x14ac:dyDescent="0.25">
      <c r="AA337" s="437"/>
      <c r="AB337" s="437"/>
      <c r="AC337" s="437"/>
      <c r="AD337" s="437"/>
      <c r="AE337" s="437"/>
      <c r="AF337" s="437"/>
      <c r="AG337" s="437"/>
      <c r="AH337" s="437"/>
      <c r="AI337" s="437"/>
      <c r="AJ337" s="437"/>
      <c r="AK337" s="437"/>
      <c r="AL337" s="437"/>
      <c r="AM337" s="437"/>
      <c r="AN337" s="437"/>
      <c r="AO337" s="437"/>
      <c r="AP337" s="437"/>
      <c r="AQ337" s="437"/>
      <c r="AR337" s="437"/>
      <c r="AS337" s="437"/>
      <c r="AT337" s="437"/>
      <c r="AU337" s="437"/>
      <c r="AV337" s="437"/>
    </row>
    <row r="338" spans="27:48" x14ac:dyDescent="0.25">
      <c r="AA338" s="437"/>
      <c r="AB338" s="437"/>
      <c r="AC338" s="437"/>
      <c r="AD338" s="437"/>
      <c r="AE338" s="437"/>
      <c r="AF338" s="437"/>
      <c r="AG338" s="437"/>
      <c r="AH338" s="437"/>
      <c r="AI338" s="437"/>
      <c r="AJ338" s="437"/>
      <c r="AK338" s="437"/>
      <c r="AL338" s="437"/>
      <c r="AM338" s="437"/>
      <c r="AN338" s="437"/>
      <c r="AO338" s="437"/>
      <c r="AP338" s="437"/>
      <c r="AQ338" s="437"/>
      <c r="AR338" s="437"/>
      <c r="AS338" s="437"/>
      <c r="AT338" s="437"/>
      <c r="AU338" s="437"/>
      <c r="AV338" s="437"/>
    </row>
    <row r="339" spans="27:48" x14ac:dyDescent="0.25">
      <c r="AA339" s="437"/>
      <c r="AB339" s="437"/>
      <c r="AC339" s="437"/>
      <c r="AD339" s="437"/>
      <c r="AE339" s="437"/>
      <c r="AF339" s="437"/>
      <c r="AG339" s="437"/>
      <c r="AH339" s="437"/>
      <c r="AI339" s="437"/>
      <c r="AJ339" s="437"/>
      <c r="AK339" s="437"/>
      <c r="AL339" s="437"/>
      <c r="AM339" s="437"/>
      <c r="AN339" s="437"/>
      <c r="AO339" s="437"/>
      <c r="AP339" s="437"/>
      <c r="AQ339" s="437"/>
      <c r="AR339" s="437"/>
      <c r="AS339" s="437"/>
      <c r="AT339" s="437"/>
      <c r="AU339" s="437"/>
      <c r="AV339" s="437"/>
    </row>
    <row r="340" spans="27:48" x14ac:dyDescent="0.25">
      <c r="AA340" s="437"/>
      <c r="AB340" s="437"/>
      <c r="AC340" s="437"/>
      <c r="AD340" s="437"/>
      <c r="AE340" s="437"/>
      <c r="AF340" s="437"/>
      <c r="AG340" s="437"/>
      <c r="AH340" s="437"/>
      <c r="AI340" s="437"/>
      <c r="AJ340" s="437"/>
      <c r="AK340" s="437"/>
      <c r="AL340" s="437"/>
      <c r="AM340" s="437"/>
      <c r="AN340" s="437"/>
      <c r="AO340" s="437"/>
      <c r="AP340" s="437"/>
      <c r="AQ340" s="437"/>
      <c r="AR340" s="437"/>
      <c r="AS340" s="437"/>
      <c r="AT340" s="437"/>
      <c r="AU340" s="437"/>
      <c r="AV340" s="437"/>
    </row>
    <row r="341" spans="27:48" x14ac:dyDescent="0.25">
      <c r="AA341" s="437"/>
      <c r="AB341" s="437"/>
      <c r="AC341" s="437"/>
      <c r="AD341" s="437"/>
      <c r="AE341" s="437"/>
      <c r="AF341" s="437"/>
      <c r="AG341" s="437"/>
      <c r="AH341" s="437"/>
      <c r="AI341" s="437"/>
      <c r="AJ341" s="437"/>
      <c r="AK341" s="437"/>
      <c r="AL341" s="437"/>
      <c r="AM341" s="437"/>
      <c r="AN341" s="437"/>
      <c r="AO341" s="437"/>
      <c r="AP341" s="437"/>
      <c r="AQ341" s="437"/>
      <c r="AR341" s="437"/>
      <c r="AS341" s="437"/>
      <c r="AT341" s="437"/>
      <c r="AU341" s="437"/>
      <c r="AV341" s="437"/>
    </row>
    <row r="342" spans="27:48" x14ac:dyDescent="0.25">
      <c r="AA342" s="437"/>
      <c r="AB342" s="437"/>
      <c r="AC342" s="437"/>
      <c r="AD342" s="437"/>
      <c r="AE342" s="437"/>
      <c r="AF342" s="437"/>
      <c r="AG342" s="437"/>
      <c r="AH342" s="437"/>
      <c r="AI342" s="437"/>
      <c r="AJ342" s="437"/>
      <c r="AK342" s="437"/>
      <c r="AL342" s="437"/>
      <c r="AM342" s="437"/>
      <c r="AN342" s="437"/>
      <c r="AO342" s="437"/>
      <c r="AP342" s="437"/>
      <c r="AQ342" s="437"/>
      <c r="AR342" s="437"/>
      <c r="AS342" s="437"/>
      <c r="AT342" s="437"/>
      <c r="AU342" s="437"/>
      <c r="AV342" s="437"/>
    </row>
    <row r="343" spans="27:48" x14ac:dyDescent="0.25">
      <c r="AA343" s="437"/>
      <c r="AB343" s="437"/>
      <c r="AC343" s="437"/>
      <c r="AD343" s="437"/>
      <c r="AE343" s="437"/>
      <c r="AF343" s="437"/>
      <c r="AG343" s="437"/>
      <c r="AH343" s="437"/>
      <c r="AI343" s="437"/>
      <c r="AJ343" s="437"/>
      <c r="AK343" s="437"/>
      <c r="AL343" s="437"/>
      <c r="AM343" s="437"/>
      <c r="AN343" s="437"/>
      <c r="AO343" s="437"/>
      <c r="AP343" s="437"/>
      <c r="AQ343" s="437"/>
      <c r="AR343" s="437"/>
      <c r="AS343" s="437"/>
      <c r="AT343" s="437"/>
      <c r="AU343" s="437"/>
      <c r="AV343" s="437"/>
    </row>
    <row r="344" spans="27:48" x14ac:dyDescent="0.25">
      <c r="AA344" s="437"/>
      <c r="AB344" s="437"/>
      <c r="AC344" s="437"/>
      <c r="AD344" s="437"/>
      <c r="AE344" s="437"/>
      <c r="AF344" s="437"/>
      <c r="AG344" s="437"/>
      <c r="AH344" s="437"/>
      <c r="AI344" s="437"/>
      <c r="AJ344" s="437"/>
      <c r="AK344" s="437"/>
      <c r="AL344" s="437"/>
      <c r="AM344" s="437"/>
      <c r="AN344" s="437"/>
      <c r="AO344" s="437"/>
      <c r="AP344" s="437"/>
      <c r="AQ344" s="437"/>
      <c r="AR344" s="437"/>
      <c r="AS344" s="437"/>
      <c r="AT344" s="437"/>
      <c r="AU344" s="437"/>
      <c r="AV344" s="437"/>
    </row>
    <row r="345" spans="27:48" x14ac:dyDescent="0.25">
      <c r="AA345" s="437"/>
      <c r="AB345" s="437"/>
      <c r="AC345" s="437"/>
      <c r="AD345" s="437"/>
      <c r="AE345" s="437"/>
      <c r="AF345" s="437"/>
      <c r="AG345" s="437"/>
      <c r="AH345" s="437"/>
      <c r="AI345" s="437"/>
      <c r="AJ345" s="437"/>
      <c r="AK345" s="437"/>
      <c r="AL345" s="437"/>
      <c r="AM345" s="437"/>
      <c r="AN345" s="437"/>
      <c r="AO345" s="437"/>
      <c r="AP345" s="437"/>
      <c r="AQ345" s="437"/>
      <c r="AR345" s="437"/>
      <c r="AS345" s="437"/>
      <c r="AT345" s="437"/>
      <c r="AU345" s="437"/>
      <c r="AV345" s="437"/>
    </row>
    <row r="346" spans="27:48" x14ac:dyDescent="0.25">
      <c r="AA346" s="437"/>
      <c r="AB346" s="437"/>
      <c r="AC346" s="437"/>
      <c r="AD346" s="437"/>
      <c r="AE346" s="437"/>
      <c r="AF346" s="437"/>
      <c r="AG346" s="437"/>
      <c r="AH346" s="437"/>
      <c r="AI346" s="437"/>
      <c r="AJ346" s="437"/>
      <c r="AK346" s="437"/>
      <c r="AL346" s="437"/>
      <c r="AM346" s="437"/>
      <c r="AN346" s="437"/>
      <c r="AO346" s="437"/>
      <c r="AP346" s="437"/>
      <c r="AQ346" s="437"/>
      <c r="AR346" s="437"/>
      <c r="AS346" s="437"/>
      <c r="AT346" s="437"/>
      <c r="AU346" s="437"/>
      <c r="AV346" s="437"/>
    </row>
    <row r="347" spans="27:48" x14ac:dyDescent="0.25">
      <c r="AA347" s="437"/>
      <c r="AB347" s="437"/>
      <c r="AC347" s="437"/>
      <c r="AD347" s="437"/>
      <c r="AE347" s="437"/>
      <c r="AF347" s="437"/>
      <c r="AG347" s="437"/>
      <c r="AH347" s="437"/>
      <c r="AI347" s="437"/>
      <c r="AJ347" s="437"/>
      <c r="AK347" s="437"/>
      <c r="AL347" s="437"/>
      <c r="AM347" s="437"/>
      <c r="AN347" s="437"/>
      <c r="AO347" s="437"/>
      <c r="AP347" s="437"/>
      <c r="AQ347" s="437"/>
      <c r="AR347" s="437"/>
      <c r="AS347" s="437"/>
      <c r="AT347" s="437"/>
      <c r="AU347" s="437"/>
      <c r="AV347" s="437"/>
    </row>
    <row r="348" spans="27:48" x14ac:dyDescent="0.25">
      <c r="AA348" s="437"/>
      <c r="AB348" s="437"/>
      <c r="AC348" s="437"/>
      <c r="AD348" s="437"/>
      <c r="AE348" s="437"/>
      <c r="AF348" s="437"/>
      <c r="AG348" s="437"/>
      <c r="AH348" s="437"/>
      <c r="AI348" s="437"/>
      <c r="AJ348" s="437"/>
      <c r="AK348" s="437"/>
      <c r="AL348" s="437"/>
      <c r="AM348" s="437"/>
      <c r="AN348" s="437"/>
      <c r="AO348" s="437"/>
      <c r="AP348" s="437"/>
      <c r="AQ348" s="437"/>
      <c r="AR348" s="437"/>
      <c r="AS348" s="437"/>
      <c r="AT348" s="437"/>
      <c r="AU348" s="437"/>
      <c r="AV348" s="437"/>
    </row>
    <row r="349" spans="27:48" x14ac:dyDescent="0.25">
      <c r="AA349" s="437"/>
      <c r="AB349" s="437"/>
      <c r="AC349" s="437"/>
      <c r="AD349" s="437"/>
      <c r="AE349" s="437"/>
      <c r="AF349" s="437"/>
      <c r="AG349" s="437"/>
      <c r="AH349" s="437"/>
      <c r="AI349" s="437"/>
      <c r="AJ349" s="437"/>
      <c r="AK349" s="437"/>
      <c r="AL349" s="437"/>
      <c r="AM349" s="437"/>
      <c r="AN349" s="437"/>
      <c r="AO349" s="437"/>
      <c r="AP349" s="437"/>
      <c r="AQ349" s="437"/>
      <c r="AR349" s="437"/>
      <c r="AS349" s="437"/>
      <c r="AT349" s="437"/>
      <c r="AU349" s="437"/>
      <c r="AV349" s="437"/>
    </row>
    <row r="350" spans="27:48" x14ac:dyDescent="0.25">
      <c r="AA350" s="437"/>
      <c r="AB350" s="437"/>
      <c r="AC350" s="437"/>
      <c r="AD350" s="437"/>
      <c r="AE350" s="437"/>
      <c r="AF350" s="437"/>
      <c r="AG350" s="437"/>
      <c r="AH350" s="437"/>
      <c r="AI350" s="437"/>
      <c r="AJ350" s="437"/>
      <c r="AK350" s="437"/>
      <c r="AL350" s="437"/>
      <c r="AM350" s="437"/>
      <c r="AN350" s="437"/>
      <c r="AO350" s="437"/>
      <c r="AP350" s="437"/>
      <c r="AQ350" s="437"/>
      <c r="AR350" s="437"/>
      <c r="AS350" s="437"/>
      <c r="AT350" s="437"/>
      <c r="AU350" s="437"/>
      <c r="AV350" s="437"/>
    </row>
    <row r="351" spans="27:48" x14ac:dyDescent="0.25">
      <c r="AA351" s="437"/>
      <c r="AB351" s="437"/>
      <c r="AC351" s="437"/>
      <c r="AD351" s="437"/>
      <c r="AE351" s="437"/>
      <c r="AF351" s="437"/>
      <c r="AG351" s="437"/>
      <c r="AH351" s="437"/>
      <c r="AI351" s="437"/>
      <c r="AJ351" s="437"/>
      <c r="AK351" s="437"/>
      <c r="AL351" s="437"/>
      <c r="AM351" s="437"/>
      <c r="AN351" s="437"/>
      <c r="AO351" s="437"/>
      <c r="AP351" s="437"/>
      <c r="AQ351" s="437"/>
      <c r="AR351" s="437"/>
      <c r="AS351" s="437"/>
      <c r="AT351" s="437"/>
      <c r="AU351" s="437"/>
      <c r="AV351" s="437"/>
    </row>
    <row r="352" spans="27:48" x14ac:dyDescent="0.25">
      <c r="AA352" s="437"/>
      <c r="AB352" s="437"/>
      <c r="AC352" s="437"/>
      <c r="AD352" s="437"/>
      <c r="AE352" s="437"/>
      <c r="AF352" s="437"/>
      <c r="AG352" s="437"/>
      <c r="AH352" s="437"/>
      <c r="AI352" s="437"/>
      <c r="AJ352" s="437"/>
      <c r="AK352" s="437"/>
      <c r="AL352" s="437"/>
      <c r="AM352" s="437"/>
      <c r="AN352" s="437"/>
      <c r="AO352" s="437"/>
      <c r="AP352" s="437"/>
      <c r="AQ352" s="437"/>
      <c r="AR352" s="437"/>
      <c r="AS352" s="437"/>
      <c r="AT352" s="437"/>
      <c r="AU352" s="437"/>
      <c r="AV352" s="437"/>
    </row>
    <row r="353" spans="27:48" x14ac:dyDescent="0.25">
      <c r="AA353" s="437"/>
      <c r="AB353" s="437"/>
      <c r="AC353" s="437"/>
      <c r="AD353" s="437"/>
      <c r="AE353" s="437"/>
      <c r="AF353" s="437"/>
      <c r="AG353" s="437"/>
      <c r="AH353" s="437"/>
      <c r="AI353" s="437"/>
      <c r="AJ353" s="437"/>
      <c r="AK353" s="437"/>
      <c r="AL353" s="437"/>
      <c r="AM353" s="437"/>
      <c r="AN353" s="437"/>
      <c r="AO353" s="437"/>
      <c r="AP353" s="437"/>
      <c r="AQ353" s="437"/>
      <c r="AR353" s="437"/>
      <c r="AS353" s="437"/>
      <c r="AT353" s="437"/>
      <c r="AU353" s="437"/>
      <c r="AV353" s="437"/>
    </row>
    <row r="354" spans="27:48" x14ac:dyDescent="0.25">
      <c r="AA354" s="437"/>
      <c r="AB354" s="437"/>
      <c r="AC354" s="437"/>
      <c r="AD354" s="437"/>
      <c r="AE354" s="437"/>
      <c r="AF354" s="437"/>
      <c r="AG354" s="437"/>
      <c r="AH354" s="437"/>
      <c r="AI354" s="437"/>
      <c r="AJ354" s="437"/>
      <c r="AK354" s="437"/>
      <c r="AL354" s="437"/>
      <c r="AM354" s="437"/>
      <c r="AN354" s="437"/>
      <c r="AO354" s="437"/>
      <c r="AP354" s="437"/>
      <c r="AQ354" s="437"/>
      <c r="AR354" s="437"/>
      <c r="AS354" s="437"/>
      <c r="AT354" s="437"/>
      <c r="AU354" s="437"/>
      <c r="AV354" s="437"/>
    </row>
    <row r="355" spans="27:48" x14ac:dyDescent="0.25">
      <c r="AA355" s="437"/>
      <c r="AB355" s="437"/>
      <c r="AC355" s="437"/>
      <c r="AD355" s="437"/>
      <c r="AE355" s="437"/>
      <c r="AF355" s="437"/>
      <c r="AG355" s="437"/>
      <c r="AH355" s="437"/>
      <c r="AI355" s="437"/>
      <c r="AJ355" s="437"/>
      <c r="AK355" s="437"/>
      <c r="AL355" s="437"/>
      <c r="AM355" s="437"/>
      <c r="AN355" s="437"/>
      <c r="AO355" s="437"/>
      <c r="AP355" s="437"/>
      <c r="AQ355" s="437"/>
      <c r="AR355" s="437"/>
      <c r="AS355" s="437"/>
      <c r="AT355" s="437"/>
      <c r="AU355" s="437"/>
      <c r="AV355" s="437"/>
    </row>
    <row r="356" spans="27:48" x14ac:dyDescent="0.25">
      <c r="AA356" s="437"/>
      <c r="AB356" s="437"/>
      <c r="AC356" s="437"/>
      <c r="AD356" s="437"/>
      <c r="AE356" s="437"/>
      <c r="AF356" s="437"/>
      <c r="AG356" s="437"/>
      <c r="AH356" s="437"/>
      <c r="AI356" s="437"/>
      <c r="AJ356" s="437"/>
      <c r="AK356" s="437"/>
      <c r="AL356" s="437"/>
      <c r="AM356" s="437"/>
      <c r="AN356" s="437"/>
      <c r="AO356" s="437"/>
      <c r="AP356" s="437"/>
      <c r="AQ356" s="437"/>
      <c r="AR356" s="437"/>
      <c r="AS356" s="437"/>
      <c r="AT356" s="437"/>
      <c r="AU356" s="437"/>
      <c r="AV356" s="437"/>
    </row>
    <row r="357" spans="27:48" x14ac:dyDescent="0.25">
      <c r="AA357" s="437"/>
      <c r="AB357" s="437"/>
      <c r="AC357" s="437"/>
      <c r="AD357" s="437"/>
      <c r="AE357" s="437"/>
      <c r="AF357" s="437"/>
      <c r="AG357" s="437"/>
      <c r="AH357" s="437"/>
      <c r="AI357" s="437"/>
      <c r="AJ357" s="437"/>
      <c r="AK357" s="437"/>
      <c r="AL357" s="437"/>
      <c r="AM357" s="437"/>
      <c r="AN357" s="437"/>
      <c r="AO357" s="437"/>
      <c r="AP357" s="437"/>
      <c r="AQ357" s="437"/>
      <c r="AR357" s="437"/>
      <c r="AS357" s="437"/>
      <c r="AT357" s="437"/>
      <c r="AU357" s="437"/>
      <c r="AV357" s="437"/>
    </row>
    <row r="358" spans="27:48" x14ac:dyDescent="0.25">
      <c r="AA358" s="437"/>
      <c r="AB358" s="437"/>
      <c r="AC358" s="437"/>
      <c r="AD358" s="437"/>
      <c r="AE358" s="437"/>
      <c r="AF358" s="437"/>
      <c r="AG358" s="437"/>
      <c r="AH358" s="437"/>
      <c r="AI358" s="437"/>
      <c r="AJ358" s="437"/>
      <c r="AK358" s="437"/>
      <c r="AL358" s="437"/>
      <c r="AM358" s="437"/>
      <c r="AN358" s="437"/>
      <c r="AO358" s="437"/>
      <c r="AP358" s="437"/>
      <c r="AQ358" s="437"/>
      <c r="AR358" s="437"/>
      <c r="AS358" s="437"/>
      <c r="AT358" s="437"/>
      <c r="AU358" s="437"/>
      <c r="AV358" s="437"/>
    </row>
    <row r="359" spans="27:48" x14ac:dyDescent="0.25">
      <c r="AA359" s="437"/>
      <c r="AB359" s="437"/>
      <c r="AC359" s="437"/>
      <c r="AD359" s="437"/>
      <c r="AE359" s="437"/>
      <c r="AF359" s="437"/>
      <c r="AG359" s="437"/>
      <c r="AH359" s="437"/>
      <c r="AI359" s="437"/>
      <c r="AJ359" s="437"/>
      <c r="AK359" s="437"/>
      <c r="AL359" s="437"/>
      <c r="AM359" s="437"/>
      <c r="AN359" s="437"/>
      <c r="AO359" s="437"/>
      <c r="AP359" s="437"/>
      <c r="AQ359" s="437"/>
      <c r="AR359" s="437"/>
      <c r="AS359" s="437"/>
      <c r="AT359" s="437"/>
      <c r="AU359" s="437"/>
      <c r="AV359" s="437"/>
    </row>
    <row r="360" spans="27:48" x14ac:dyDescent="0.25">
      <c r="AA360" s="437"/>
      <c r="AB360" s="437"/>
      <c r="AC360" s="437"/>
      <c r="AD360" s="437"/>
      <c r="AE360" s="437"/>
      <c r="AF360" s="437"/>
      <c r="AG360" s="437"/>
      <c r="AH360" s="437"/>
      <c r="AI360" s="437"/>
      <c r="AJ360" s="437"/>
      <c r="AK360" s="437"/>
      <c r="AL360" s="437"/>
      <c r="AM360" s="437"/>
      <c r="AN360" s="437"/>
      <c r="AO360" s="437"/>
      <c r="AP360" s="437"/>
      <c r="AQ360" s="437"/>
      <c r="AR360" s="437"/>
      <c r="AS360" s="437"/>
      <c r="AT360" s="437"/>
      <c r="AU360" s="437"/>
      <c r="AV360" s="437"/>
    </row>
    <row r="361" spans="27:48" x14ac:dyDescent="0.25">
      <c r="AA361" s="437"/>
      <c r="AB361" s="437"/>
      <c r="AC361" s="437"/>
      <c r="AD361" s="437"/>
      <c r="AE361" s="437"/>
      <c r="AF361" s="437"/>
      <c r="AG361" s="437"/>
      <c r="AH361" s="437"/>
      <c r="AI361" s="437"/>
      <c r="AJ361" s="437"/>
      <c r="AK361" s="437"/>
      <c r="AL361" s="437"/>
      <c r="AM361" s="437"/>
      <c r="AN361" s="437"/>
      <c r="AO361" s="437"/>
      <c r="AP361" s="437"/>
      <c r="AQ361" s="437"/>
      <c r="AR361" s="437"/>
      <c r="AS361" s="437"/>
      <c r="AT361" s="437"/>
      <c r="AU361" s="437"/>
      <c r="AV361" s="437"/>
    </row>
    <row r="362" spans="27:48" x14ac:dyDescent="0.25">
      <c r="AA362" s="437"/>
      <c r="AB362" s="437"/>
      <c r="AC362" s="437"/>
      <c r="AD362" s="437"/>
      <c r="AE362" s="437"/>
      <c r="AF362" s="437"/>
      <c r="AG362" s="437"/>
      <c r="AH362" s="437"/>
      <c r="AI362" s="437"/>
      <c r="AJ362" s="437"/>
      <c r="AK362" s="437"/>
      <c r="AL362" s="437"/>
      <c r="AM362" s="437"/>
      <c r="AN362" s="437"/>
      <c r="AO362" s="437"/>
      <c r="AP362" s="437"/>
      <c r="AQ362" s="437"/>
      <c r="AR362" s="437"/>
      <c r="AS362" s="437"/>
      <c r="AT362" s="437"/>
      <c r="AU362" s="437"/>
      <c r="AV362" s="437"/>
    </row>
    <row r="363" spans="27:48" x14ac:dyDescent="0.25">
      <c r="AA363" s="437"/>
      <c r="AB363" s="437"/>
      <c r="AC363" s="437"/>
      <c r="AD363" s="437"/>
      <c r="AE363" s="437"/>
      <c r="AF363" s="437"/>
      <c r="AG363" s="437"/>
      <c r="AH363" s="437"/>
      <c r="AI363" s="437"/>
      <c r="AJ363" s="437"/>
      <c r="AK363" s="437"/>
      <c r="AL363" s="437"/>
      <c r="AM363" s="437"/>
      <c r="AN363" s="437"/>
      <c r="AO363" s="437"/>
      <c r="AP363" s="437"/>
      <c r="AQ363" s="437"/>
      <c r="AR363" s="437"/>
      <c r="AS363" s="437"/>
      <c r="AT363" s="437"/>
      <c r="AU363" s="437"/>
      <c r="AV363" s="437"/>
    </row>
    <row r="364" spans="27:48" x14ac:dyDescent="0.25">
      <c r="AA364" s="437"/>
      <c r="AB364" s="437"/>
      <c r="AC364" s="437"/>
      <c r="AD364" s="437"/>
      <c r="AE364" s="437"/>
      <c r="AF364" s="437"/>
      <c r="AG364" s="437"/>
      <c r="AH364" s="437"/>
      <c r="AI364" s="437"/>
      <c r="AJ364" s="437"/>
      <c r="AK364" s="437"/>
      <c r="AL364" s="437"/>
      <c r="AM364" s="437"/>
      <c r="AN364" s="437"/>
      <c r="AO364" s="437"/>
      <c r="AP364" s="437"/>
      <c r="AQ364" s="437"/>
      <c r="AR364" s="437"/>
      <c r="AS364" s="437"/>
      <c r="AT364" s="437"/>
      <c r="AU364" s="437"/>
      <c r="AV364" s="437"/>
    </row>
    <row r="365" spans="27:48" x14ac:dyDescent="0.25">
      <c r="AA365" s="437"/>
      <c r="AB365" s="437"/>
      <c r="AC365" s="437"/>
      <c r="AD365" s="437"/>
      <c r="AE365" s="437"/>
      <c r="AF365" s="437"/>
      <c r="AG365" s="437"/>
      <c r="AH365" s="437"/>
      <c r="AI365" s="437"/>
      <c r="AJ365" s="437"/>
      <c r="AK365" s="437"/>
      <c r="AL365" s="437"/>
      <c r="AM365" s="437"/>
      <c r="AN365" s="437"/>
      <c r="AO365" s="437"/>
      <c r="AP365" s="437"/>
      <c r="AQ365" s="437"/>
      <c r="AR365" s="437"/>
      <c r="AS365" s="437"/>
      <c r="AT365" s="437"/>
      <c r="AU365" s="437"/>
      <c r="AV365" s="437"/>
    </row>
    <row r="366" spans="27:48" x14ac:dyDescent="0.25">
      <c r="AA366" s="437"/>
      <c r="AB366" s="437"/>
      <c r="AC366" s="437"/>
      <c r="AD366" s="437"/>
      <c r="AE366" s="437"/>
      <c r="AF366" s="437"/>
      <c r="AG366" s="437"/>
      <c r="AH366" s="437"/>
      <c r="AI366" s="437"/>
      <c r="AJ366" s="437"/>
      <c r="AK366" s="437"/>
      <c r="AL366" s="437"/>
      <c r="AM366" s="437"/>
      <c r="AN366" s="437"/>
      <c r="AO366" s="437"/>
      <c r="AP366" s="437"/>
      <c r="AQ366" s="437"/>
      <c r="AR366" s="437"/>
      <c r="AS366" s="437"/>
      <c r="AT366" s="437"/>
      <c r="AU366" s="437"/>
      <c r="AV366" s="437"/>
    </row>
    <row r="367" spans="27:48" x14ac:dyDescent="0.25">
      <c r="AA367" s="437"/>
      <c r="AB367" s="437"/>
      <c r="AC367" s="437"/>
      <c r="AD367" s="437"/>
      <c r="AE367" s="437"/>
      <c r="AF367" s="437"/>
      <c r="AG367" s="437"/>
      <c r="AH367" s="437"/>
      <c r="AI367" s="437"/>
      <c r="AJ367" s="437"/>
      <c r="AK367" s="437"/>
      <c r="AL367" s="437"/>
      <c r="AM367" s="437"/>
      <c r="AN367" s="437"/>
      <c r="AO367" s="437"/>
      <c r="AP367" s="437"/>
      <c r="AQ367" s="437"/>
      <c r="AR367" s="437"/>
      <c r="AS367" s="437"/>
      <c r="AT367" s="437"/>
      <c r="AU367" s="437"/>
      <c r="AV367" s="437"/>
    </row>
    <row r="368" spans="27:48" x14ac:dyDescent="0.25">
      <c r="AA368" s="437"/>
      <c r="AB368" s="437"/>
      <c r="AC368" s="437"/>
      <c r="AD368" s="437"/>
      <c r="AE368" s="437"/>
      <c r="AF368" s="437"/>
      <c r="AG368" s="437"/>
      <c r="AH368" s="437"/>
      <c r="AI368" s="437"/>
      <c r="AJ368" s="437"/>
      <c r="AK368" s="437"/>
      <c r="AL368" s="437"/>
      <c r="AM368" s="437"/>
      <c r="AN368" s="437"/>
      <c r="AO368" s="437"/>
      <c r="AP368" s="437"/>
      <c r="AQ368" s="437"/>
      <c r="AR368" s="437"/>
      <c r="AS368" s="437"/>
      <c r="AT368" s="437"/>
      <c r="AU368" s="437"/>
      <c r="AV368" s="437"/>
    </row>
    <row r="369" spans="27:48" x14ac:dyDescent="0.25">
      <c r="AA369" s="437"/>
      <c r="AB369" s="437"/>
      <c r="AC369" s="437"/>
      <c r="AD369" s="437"/>
      <c r="AE369" s="437"/>
      <c r="AF369" s="437"/>
      <c r="AG369" s="437"/>
      <c r="AH369" s="437"/>
      <c r="AI369" s="437"/>
      <c r="AJ369" s="437"/>
      <c r="AK369" s="437"/>
      <c r="AL369" s="437"/>
      <c r="AM369" s="437"/>
      <c r="AN369" s="437"/>
      <c r="AO369" s="437"/>
      <c r="AP369" s="437"/>
      <c r="AQ369" s="437"/>
      <c r="AR369" s="437"/>
      <c r="AS369" s="437"/>
      <c r="AT369" s="437"/>
      <c r="AU369" s="437"/>
      <c r="AV369" s="437"/>
    </row>
    <row r="370" spans="27:48" x14ac:dyDescent="0.25">
      <c r="AA370" s="437"/>
      <c r="AB370" s="437"/>
      <c r="AC370" s="437"/>
      <c r="AD370" s="437"/>
      <c r="AE370" s="437"/>
      <c r="AF370" s="437"/>
      <c r="AG370" s="437"/>
      <c r="AH370" s="437"/>
      <c r="AI370" s="437"/>
      <c r="AJ370" s="437"/>
      <c r="AK370" s="437"/>
      <c r="AL370" s="437"/>
      <c r="AM370" s="437"/>
      <c r="AN370" s="437"/>
      <c r="AO370" s="437"/>
      <c r="AP370" s="437"/>
      <c r="AQ370" s="437"/>
      <c r="AR370" s="437"/>
      <c r="AS370" s="437"/>
      <c r="AT370" s="437"/>
      <c r="AU370" s="437"/>
      <c r="AV370" s="437"/>
    </row>
    <row r="371" spans="27:48" x14ac:dyDescent="0.25">
      <c r="AA371" s="437"/>
      <c r="AB371" s="437"/>
      <c r="AC371" s="437"/>
      <c r="AD371" s="437"/>
      <c r="AE371" s="437"/>
      <c r="AF371" s="437"/>
      <c r="AG371" s="437"/>
      <c r="AH371" s="437"/>
      <c r="AI371" s="437"/>
      <c r="AJ371" s="437"/>
      <c r="AK371" s="437"/>
      <c r="AL371" s="437"/>
      <c r="AM371" s="437"/>
      <c r="AN371" s="437"/>
      <c r="AO371" s="437"/>
      <c r="AP371" s="437"/>
      <c r="AQ371" s="437"/>
      <c r="AR371" s="437"/>
      <c r="AS371" s="437"/>
      <c r="AT371" s="437"/>
      <c r="AU371" s="437"/>
      <c r="AV371" s="437"/>
    </row>
    <row r="372" spans="27:48" x14ac:dyDescent="0.25">
      <c r="AA372" s="437"/>
      <c r="AB372" s="437"/>
      <c r="AC372" s="437"/>
      <c r="AD372" s="437"/>
      <c r="AE372" s="437"/>
      <c r="AF372" s="437"/>
      <c r="AG372" s="437"/>
      <c r="AH372" s="437"/>
      <c r="AI372" s="437"/>
      <c r="AJ372" s="437"/>
      <c r="AK372" s="437"/>
      <c r="AL372" s="437"/>
      <c r="AM372" s="437"/>
      <c r="AN372" s="437"/>
      <c r="AO372" s="437"/>
      <c r="AP372" s="437"/>
      <c r="AQ372" s="437"/>
      <c r="AR372" s="437"/>
      <c r="AS372" s="437"/>
      <c r="AT372" s="437"/>
      <c r="AU372" s="437"/>
      <c r="AV372" s="437"/>
    </row>
    <row r="373" spans="27:48" x14ac:dyDescent="0.25">
      <c r="AA373" s="437"/>
      <c r="AB373" s="437"/>
      <c r="AC373" s="437"/>
      <c r="AD373" s="437"/>
      <c r="AE373" s="437"/>
      <c r="AF373" s="437"/>
      <c r="AG373" s="437"/>
      <c r="AH373" s="437"/>
      <c r="AI373" s="437"/>
      <c r="AJ373" s="437"/>
      <c r="AK373" s="437"/>
      <c r="AL373" s="437"/>
      <c r="AM373" s="437"/>
      <c r="AN373" s="437"/>
      <c r="AO373" s="437"/>
      <c r="AP373" s="437"/>
      <c r="AQ373" s="437"/>
      <c r="AR373" s="437"/>
      <c r="AS373" s="437"/>
      <c r="AT373" s="437"/>
      <c r="AU373" s="437"/>
      <c r="AV373" s="437"/>
    </row>
    <row r="374" spans="27:48" x14ac:dyDescent="0.25">
      <c r="AA374" s="437"/>
      <c r="AB374" s="437"/>
      <c r="AC374" s="437"/>
      <c r="AD374" s="437"/>
      <c r="AE374" s="437"/>
      <c r="AF374" s="437"/>
      <c r="AG374" s="437"/>
      <c r="AH374" s="437"/>
      <c r="AI374" s="437"/>
      <c r="AJ374" s="437"/>
      <c r="AK374" s="437"/>
      <c r="AL374" s="437"/>
      <c r="AM374" s="437"/>
      <c r="AN374" s="437"/>
      <c r="AO374" s="437"/>
      <c r="AP374" s="437"/>
      <c r="AQ374" s="437"/>
      <c r="AR374" s="437"/>
      <c r="AS374" s="437"/>
      <c r="AT374" s="437"/>
      <c r="AU374" s="437"/>
      <c r="AV374" s="437"/>
    </row>
    <row r="375" spans="27:48" x14ac:dyDescent="0.25">
      <c r="AA375" s="437"/>
      <c r="AB375" s="437"/>
      <c r="AC375" s="437"/>
      <c r="AD375" s="437"/>
      <c r="AE375" s="437"/>
      <c r="AF375" s="437"/>
      <c r="AG375" s="437"/>
      <c r="AH375" s="437"/>
      <c r="AI375" s="437"/>
      <c r="AJ375" s="437"/>
      <c r="AK375" s="437"/>
      <c r="AL375" s="437"/>
      <c r="AM375" s="437"/>
      <c r="AN375" s="437"/>
      <c r="AO375" s="437"/>
      <c r="AP375" s="437"/>
      <c r="AQ375" s="437"/>
      <c r="AR375" s="437"/>
      <c r="AS375" s="437"/>
      <c r="AT375" s="437"/>
      <c r="AU375" s="437"/>
      <c r="AV375" s="437"/>
    </row>
    <row r="376" spans="27:48" x14ac:dyDescent="0.25">
      <c r="AA376" s="437"/>
      <c r="AB376" s="437"/>
      <c r="AC376" s="437"/>
      <c r="AD376" s="437"/>
      <c r="AE376" s="437"/>
      <c r="AF376" s="437"/>
      <c r="AG376" s="437"/>
      <c r="AH376" s="437"/>
      <c r="AI376" s="437"/>
      <c r="AJ376" s="437"/>
      <c r="AK376" s="437"/>
      <c r="AL376" s="437"/>
      <c r="AM376" s="437"/>
      <c r="AN376" s="437"/>
      <c r="AO376" s="437"/>
      <c r="AP376" s="437"/>
      <c r="AQ376" s="437"/>
      <c r="AR376" s="437"/>
      <c r="AS376" s="437"/>
      <c r="AT376" s="437"/>
      <c r="AU376" s="437"/>
      <c r="AV376" s="437"/>
    </row>
    <row r="377" spans="27:48" x14ac:dyDescent="0.25">
      <c r="AA377" s="437"/>
      <c r="AB377" s="437"/>
      <c r="AC377" s="437"/>
      <c r="AD377" s="437"/>
      <c r="AE377" s="437"/>
      <c r="AF377" s="437"/>
      <c r="AG377" s="437"/>
      <c r="AH377" s="437"/>
      <c r="AI377" s="437"/>
      <c r="AJ377" s="437"/>
      <c r="AK377" s="437"/>
      <c r="AL377" s="437"/>
      <c r="AM377" s="437"/>
      <c r="AN377" s="437"/>
      <c r="AO377" s="437"/>
      <c r="AP377" s="437"/>
      <c r="AQ377" s="437"/>
      <c r="AR377" s="437"/>
      <c r="AS377" s="437"/>
      <c r="AT377" s="437"/>
      <c r="AU377" s="437"/>
      <c r="AV377" s="437"/>
    </row>
    <row r="378" spans="27:48" x14ac:dyDescent="0.25">
      <c r="AA378" s="437"/>
      <c r="AB378" s="437"/>
      <c r="AC378" s="437"/>
      <c r="AD378" s="437"/>
      <c r="AE378" s="437"/>
      <c r="AF378" s="437"/>
      <c r="AG378" s="437"/>
      <c r="AH378" s="437"/>
      <c r="AI378" s="437"/>
      <c r="AJ378" s="437"/>
      <c r="AK378" s="437"/>
      <c r="AL378" s="437"/>
      <c r="AM378" s="437"/>
      <c r="AN378" s="437"/>
      <c r="AO378" s="437"/>
      <c r="AP378" s="437"/>
      <c r="AQ378" s="437"/>
      <c r="AR378" s="437"/>
      <c r="AS378" s="437"/>
      <c r="AT378" s="437"/>
      <c r="AU378" s="437"/>
      <c r="AV378" s="437"/>
    </row>
    <row r="379" spans="27:48" x14ac:dyDescent="0.25">
      <c r="AA379" s="437"/>
      <c r="AB379" s="437"/>
      <c r="AC379" s="437"/>
      <c r="AD379" s="437"/>
      <c r="AE379" s="437"/>
      <c r="AF379" s="437"/>
      <c r="AG379" s="437"/>
      <c r="AH379" s="437"/>
      <c r="AI379" s="437"/>
      <c r="AJ379" s="437"/>
      <c r="AK379" s="437"/>
      <c r="AL379" s="437"/>
      <c r="AM379" s="437"/>
      <c r="AN379" s="437"/>
      <c r="AO379" s="437"/>
      <c r="AP379" s="437"/>
      <c r="AQ379" s="437"/>
      <c r="AR379" s="437"/>
      <c r="AS379" s="437"/>
      <c r="AT379" s="437"/>
      <c r="AU379" s="437"/>
      <c r="AV379" s="437"/>
    </row>
    <row r="380" spans="27:48" x14ac:dyDescent="0.25">
      <c r="AA380" s="437"/>
      <c r="AB380" s="437"/>
      <c r="AC380" s="437"/>
      <c r="AD380" s="437"/>
      <c r="AE380" s="437"/>
      <c r="AF380" s="437"/>
      <c r="AG380" s="437"/>
      <c r="AH380" s="437"/>
      <c r="AI380" s="437"/>
      <c r="AJ380" s="437"/>
      <c r="AK380" s="437"/>
      <c r="AL380" s="437"/>
      <c r="AM380" s="437"/>
      <c r="AN380" s="437"/>
      <c r="AO380" s="437"/>
      <c r="AP380" s="437"/>
      <c r="AQ380" s="437"/>
      <c r="AR380" s="437"/>
      <c r="AS380" s="437"/>
      <c r="AT380" s="437"/>
      <c r="AU380" s="437"/>
      <c r="AV380" s="437"/>
    </row>
    <row r="381" spans="27:48" x14ac:dyDescent="0.25">
      <c r="AA381" s="437"/>
      <c r="AB381" s="437"/>
      <c r="AC381" s="437"/>
      <c r="AD381" s="437"/>
      <c r="AE381" s="437"/>
      <c r="AF381" s="437"/>
      <c r="AG381" s="437"/>
      <c r="AH381" s="437"/>
      <c r="AI381" s="437"/>
      <c r="AJ381" s="437"/>
      <c r="AK381" s="437"/>
      <c r="AL381" s="437"/>
      <c r="AM381" s="437"/>
      <c r="AN381" s="437"/>
      <c r="AO381" s="437"/>
      <c r="AP381" s="437"/>
      <c r="AQ381" s="437"/>
      <c r="AR381" s="437"/>
      <c r="AS381" s="437"/>
      <c r="AT381" s="437"/>
      <c r="AU381" s="437"/>
      <c r="AV381" s="437"/>
    </row>
    <row r="382" spans="27:48" x14ac:dyDescent="0.25">
      <c r="AA382" s="437"/>
      <c r="AB382" s="437"/>
      <c r="AC382" s="437"/>
      <c r="AD382" s="437"/>
      <c r="AE382" s="437"/>
      <c r="AF382" s="437"/>
      <c r="AG382" s="437"/>
      <c r="AH382" s="437"/>
      <c r="AI382" s="437"/>
      <c r="AJ382" s="437"/>
      <c r="AK382" s="437"/>
      <c r="AL382" s="437"/>
      <c r="AM382" s="437"/>
      <c r="AN382" s="437"/>
      <c r="AO382" s="437"/>
      <c r="AP382" s="437"/>
      <c r="AQ382" s="437"/>
      <c r="AR382" s="437"/>
      <c r="AS382" s="437"/>
      <c r="AT382" s="437"/>
      <c r="AU382" s="437"/>
      <c r="AV382" s="437"/>
    </row>
    <row r="383" spans="27:48" x14ac:dyDescent="0.25">
      <c r="AA383" s="437"/>
      <c r="AB383" s="437"/>
      <c r="AC383" s="437"/>
      <c r="AD383" s="437"/>
      <c r="AE383" s="437"/>
      <c r="AF383" s="437"/>
      <c r="AG383" s="437"/>
      <c r="AH383" s="437"/>
      <c r="AI383" s="437"/>
      <c r="AJ383" s="437"/>
      <c r="AK383" s="437"/>
      <c r="AL383" s="437"/>
      <c r="AM383" s="437"/>
      <c r="AN383" s="437"/>
      <c r="AO383" s="437"/>
      <c r="AP383" s="437"/>
      <c r="AQ383" s="437"/>
      <c r="AR383" s="437"/>
      <c r="AS383" s="437"/>
      <c r="AT383" s="437"/>
      <c r="AU383" s="437"/>
      <c r="AV383" s="437"/>
    </row>
    <row r="384" spans="27:48" x14ac:dyDescent="0.25">
      <c r="AA384" s="437"/>
      <c r="AB384" s="437"/>
      <c r="AC384" s="437"/>
      <c r="AD384" s="437"/>
      <c r="AE384" s="437"/>
      <c r="AF384" s="437"/>
      <c r="AG384" s="437"/>
      <c r="AH384" s="437"/>
      <c r="AI384" s="437"/>
      <c r="AJ384" s="437"/>
      <c r="AK384" s="437"/>
      <c r="AL384" s="437"/>
      <c r="AM384" s="437"/>
      <c r="AN384" s="437"/>
      <c r="AO384" s="437"/>
      <c r="AP384" s="437"/>
      <c r="AQ384" s="437"/>
      <c r="AR384" s="437"/>
      <c r="AS384" s="437"/>
      <c r="AT384" s="437"/>
      <c r="AU384" s="437"/>
      <c r="AV384" s="437"/>
    </row>
    <row r="385" spans="27:48" x14ac:dyDescent="0.25">
      <c r="AA385" s="437"/>
      <c r="AB385" s="437"/>
      <c r="AC385" s="437"/>
      <c r="AD385" s="437"/>
      <c r="AE385" s="437"/>
      <c r="AF385" s="437"/>
      <c r="AG385" s="437"/>
      <c r="AH385" s="437"/>
      <c r="AI385" s="437"/>
      <c r="AJ385" s="437"/>
      <c r="AK385" s="437"/>
      <c r="AL385" s="437"/>
      <c r="AM385" s="437"/>
      <c r="AN385" s="437"/>
      <c r="AO385" s="437"/>
      <c r="AP385" s="437"/>
      <c r="AQ385" s="437"/>
      <c r="AR385" s="437"/>
      <c r="AS385" s="437"/>
      <c r="AT385" s="437"/>
      <c r="AU385" s="437"/>
      <c r="AV385" s="437"/>
    </row>
    <row r="386" spans="27:48" x14ac:dyDescent="0.25">
      <c r="AA386" s="437"/>
      <c r="AB386" s="437"/>
      <c r="AC386" s="437"/>
      <c r="AD386" s="437"/>
      <c r="AE386" s="437"/>
      <c r="AF386" s="437"/>
      <c r="AG386" s="437"/>
      <c r="AH386" s="437"/>
      <c r="AI386" s="437"/>
      <c r="AJ386" s="437"/>
      <c r="AK386" s="437"/>
      <c r="AL386" s="437"/>
      <c r="AM386" s="437"/>
      <c r="AN386" s="437"/>
      <c r="AO386" s="437"/>
      <c r="AP386" s="437"/>
      <c r="AQ386" s="437"/>
      <c r="AR386" s="437"/>
      <c r="AS386" s="437"/>
      <c r="AT386" s="437"/>
      <c r="AU386" s="437"/>
      <c r="AV386" s="437"/>
    </row>
    <row r="387" spans="27:48" x14ac:dyDescent="0.25">
      <c r="AA387" s="437"/>
      <c r="AB387" s="437"/>
      <c r="AC387" s="437"/>
      <c r="AD387" s="437"/>
      <c r="AE387" s="437"/>
      <c r="AF387" s="437"/>
      <c r="AG387" s="437"/>
      <c r="AH387" s="437"/>
      <c r="AI387" s="437"/>
      <c r="AJ387" s="437"/>
      <c r="AK387" s="437"/>
      <c r="AL387" s="437"/>
      <c r="AM387" s="437"/>
      <c r="AN387" s="437"/>
      <c r="AO387" s="437"/>
      <c r="AP387" s="437"/>
      <c r="AQ387" s="437"/>
      <c r="AR387" s="437"/>
      <c r="AS387" s="437"/>
      <c r="AT387" s="437"/>
      <c r="AU387" s="437"/>
      <c r="AV387" s="437"/>
    </row>
    <row r="388" spans="27:48" x14ac:dyDescent="0.25">
      <c r="AA388" s="437"/>
      <c r="AB388" s="437"/>
      <c r="AC388" s="437"/>
      <c r="AD388" s="437"/>
      <c r="AE388" s="437"/>
      <c r="AF388" s="437"/>
      <c r="AG388" s="437"/>
      <c r="AH388" s="437"/>
      <c r="AI388" s="437"/>
      <c r="AJ388" s="437"/>
      <c r="AK388" s="437"/>
      <c r="AL388" s="437"/>
      <c r="AM388" s="437"/>
      <c r="AN388" s="437"/>
      <c r="AO388" s="437"/>
      <c r="AP388" s="437"/>
      <c r="AQ388" s="437"/>
      <c r="AR388" s="437"/>
      <c r="AS388" s="437"/>
      <c r="AT388" s="437"/>
      <c r="AU388" s="437"/>
      <c r="AV388" s="437"/>
    </row>
    <row r="389" spans="27:48" x14ac:dyDescent="0.25">
      <c r="AA389" s="437"/>
      <c r="AB389" s="437"/>
      <c r="AC389" s="437"/>
      <c r="AD389" s="437"/>
      <c r="AE389" s="437"/>
      <c r="AF389" s="437"/>
      <c r="AG389" s="437"/>
      <c r="AH389" s="437"/>
      <c r="AI389" s="437"/>
      <c r="AJ389" s="437"/>
      <c r="AK389" s="437"/>
      <c r="AL389" s="437"/>
      <c r="AM389" s="437"/>
      <c r="AN389" s="437"/>
      <c r="AO389" s="437"/>
      <c r="AP389" s="437"/>
      <c r="AQ389" s="437"/>
      <c r="AR389" s="437"/>
      <c r="AS389" s="437"/>
      <c r="AT389" s="437"/>
      <c r="AU389" s="437"/>
      <c r="AV389" s="437"/>
    </row>
    <row r="390" spans="27:48" x14ac:dyDescent="0.25">
      <c r="AA390" s="437"/>
      <c r="AB390" s="437"/>
      <c r="AC390" s="437"/>
      <c r="AD390" s="437"/>
      <c r="AE390" s="437"/>
      <c r="AF390" s="437"/>
      <c r="AG390" s="437"/>
      <c r="AH390" s="437"/>
      <c r="AI390" s="437"/>
      <c r="AJ390" s="437"/>
      <c r="AK390" s="437"/>
      <c r="AL390" s="437"/>
      <c r="AM390" s="437"/>
      <c r="AN390" s="437"/>
      <c r="AO390" s="437"/>
      <c r="AP390" s="437"/>
      <c r="AQ390" s="437"/>
      <c r="AR390" s="437"/>
      <c r="AS390" s="437"/>
      <c r="AT390" s="437"/>
      <c r="AU390" s="437"/>
      <c r="AV390" s="437"/>
    </row>
    <row r="391" spans="27:48" x14ac:dyDescent="0.25">
      <c r="AA391" s="437"/>
      <c r="AB391" s="437"/>
      <c r="AC391" s="437"/>
      <c r="AD391" s="437"/>
      <c r="AE391" s="437"/>
      <c r="AF391" s="437"/>
      <c r="AG391" s="437"/>
      <c r="AH391" s="437"/>
      <c r="AI391" s="437"/>
      <c r="AJ391" s="437"/>
      <c r="AK391" s="437"/>
      <c r="AL391" s="437"/>
      <c r="AM391" s="437"/>
      <c r="AN391" s="437"/>
      <c r="AO391" s="437"/>
      <c r="AP391" s="437"/>
      <c r="AQ391" s="437"/>
      <c r="AR391" s="437"/>
      <c r="AS391" s="437"/>
      <c r="AT391" s="437"/>
      <c r="AU391" s="437"/>
      <c r="AV391" s="437"/>
    </row>
    <row r="392" spans="27:48" x14ac:dyDescent="0.25">
      <c r="AA392" s="437"/>
      <c r="AB392" s="437"/>
      <c r="AC392" s="437"/>
      <c r="AD392" s="437"/>
      <c r="AE392" s="437"/>
      <c r="AF392" s="437"/>
      <c r="AG392" s="437"/>
      <c r="AH392" s="437"/>
      <c r="AI392" s="437"/>
      <c r="AJ392" s="437"/>
      <c r="AK392" s="437"/>
      <c r="AL392" s="437"/>
      <c r="AM392" s="437"/>
      <c r="AN392" s="437"/>
      <c r="AO392" s="437"/>
      <c r="AP392" s="437"/>
      <c r="AQ392" s="437"/>
      <c r="AR392" s="437"/>
      <c r="AS392" s="437"/>
      <c r="AT392" s="437"/>
      <c r="AU392" s="437"/>
      <c r="AV392" s="437"/>
    </row>
    <row r="393" spans="27:48" x14ac:dyDescent="0.25">
      <c r="AA393" s="437"/>
      <c r="AB393" s="437"/>
      <c r="AC393" s="437"/>
      <c r="AD393" s="437"/>
      <c r="AE393" s="437"/>
      <c r="AF393" s="437"/>
      <c r="AG393" s="437"/>
      <c r="AH393" s="437"/>
      <c r="AI393" s="437"/>
      <c r="AJ393" s="437"/>
      <c r="AK393" s="437"/>
      <c r="AL393" s="437"/>
      <c r="AM393" s="437"/>
      <c r="AN393" s="437"/>
      <c r="AO393" s="437"/>
      <c r="AP393" s="437"/>
      <c r="AQ393" s="437"/>
      <c r="AR393" s="437"/>
      <c r="AS393" s="437"/>
      <c r="AT393" s="437"/>
      <c r="AU393" s="437"/>
      <c r="AV393" s="437"/>
    </row>
    <row r="394" spans="27:48" x14ac:dyDescent="0.25">
      <c r="AA394" s="437"/>
      <c r="AB394" s="437"/>
      <c r="AC394" s="437"/>
      <c r="AD394" s="437"/>
      <c r="AE394" s="437"/>
      <c r="AF394" s="437"/>
      <c r="AG394" s="437"/>
      <c r="AH394" s="437"/>
      <c r="AI394" s="437"/>
      <c r="AJ394" s="437"/>
      <c r="AK394" s="437"/>
      <c r="AL394" s="437"/>
      <c r="AM394" s="437"/>
      <c r="AN394" s="437"/>
      <c r="AO394" s="437"/>
      <c r="AP394" s="437"/>
      <c r="AQ394" s="437"/>
      <c r="AR394" s="437"/>
      <c r="AS394" s="437"/>
      <c r="AT394" s="437"/>
      <c r="AU394" s="437"/>
      <c r="AV394" s="437"/>
    </row>
    <row r="395" spans="27:48" x14ac:dyDescent="0.25">
      <c r="AA395" s="437"/>
      <c r="AB395" s="437"/>
      <c r="AC395" s="437"/>
      <c r="AD395" s="437"/>
      <c r="AE395" s="437"/>
      <c r="AF395" s="437"/>
      <c r="AG395" s="437"/>
      <c r="AH395" s="437"/>
      <c r="AI395" s="437"/>
      <c r="AJ395" s="437"/>
      <c r="AK395" s="437"/>
      <c r="AL395" s="437"/>
      <c r="AM395" s="437"/>
      <c r="AN395" s="437"/>
      <c r="AO395" s="437"/>
      <c r="AP395" s="437"/>
      <c r="AQ395" s="437"/>
      <c r="AR395" s="437"/>
      <c r="AS395" s="437"/>
      <c r="AT395" s="437"/>
      <c r="AU395" s="437"/>
      <c r="AV395" s="437"/>
    </row>
    <row r="396" spans="27:48" x14ac:dyDescent="0.25">
      <c r="AA396" s="437"/>
      <c r="AB396" s="437"/>
      <c r="AC396" s="437"/>
      <c r="AD396" s="437"/>
      <c r="AE396" s="437"/>
      <c r="AF396" s="437"/>
      <c r="AG396" s="437"/>
      <c r="AH396" s="437"/>
      <c r="AI396" s="437"/>
      <c r="AJ396" s="437"/>
      <c r="AK396" s="437"/>
      <c r="AL396" s="437"/>
      <c r="AM396" s="437"/>
      <c r="AN396" s="437"/>
      <c r="AO396" s="437"/>
      <c r="AP396" s="437"/>
      <c r="AQ396" s="437"/>
      <c r="AR396" s="437"/>
      <c r="AS396" s="437"/>
      <c r="AT396" s="437"/>
      <c r="AU396" s="437"/>
      <c r="AV396" s="437"/>
    </row>
    <row r="397" spans="27:48" x14ac:dyDescent="0.25">
      <c r="AA397" s="437"/>
      <c r="AB397" s="437"/>
      <c r="AC397" s="437"/>
      <c r="AD397" s="437"/>
      <c r="AE397" s="437"/>
      <c r="AF397" s="437"/>
      <c r="AG397" s="437"/>
      <c r="AH397" s="437"/>
      <c r="AI397" s="437"/>
      <c r="AJ397" s="437"/>
      <c r="AK397" s="437"/>
      <c r="AL397" s="437"/>
      <c r="AM397" s="437"/>
      <c r="AN397" s="437"/>
      <c r="AO397" s="437"/>
      <c r="AP397" s="437"/>
      <c r="AQ397" s="437"/>
      <c r="AR397" s="437"/>
      <c r="AS397" s="437"/>
      <c r="AT397" s="437"/>
      <c r="AU397" s="437"/>
      <c r="AV397" s="437"/>
    </row>
    <row r="398" spans="27:48" x14ac:dyDescent="0.25">
      <c r="AA398" s="437"/>
      <c r="AB398" s="437"/>
      <c r="AC398" s="437"/>
      <c r="AD398" s="437"/>
      <c r="AE398" s="437"/>
      <c r="AF398" s="437"/>
      <c r="AG398" s="437"/>
      <c r="AH398" s="437"/>
      <c r="AI398" s="437"/>
      <c r="AJ398" s="437"/>
      <c r="AK398" s="437"/>
      <c r="AL398" s="437"/>
      <c r="AM398" s="437"/>
      <c r="AN398" s="437"/>
      <c r="AO398" s="437"/>
      <c r="AP398" s="437"/>
      <c r="AQ398" s="437"/>
      <c r="AR398" s="437"/>
      <c r="AS398" s="437"/>
      <c r="AT398" s="437"/>
      <c r="AU398" s="437"/>
      <c r="AV398" s="437"/>
    </row>
    <row r="399" spans="27:48" x14ac:dyDescent="0.25">
      <c r="AA399" s="437"/>
      <c r="AB399" s="437"/>
      <c r="AC399" s="437"/>
      <c r="AD399" s="437"/>
      <c r="AE399" s="437"/>
      <c r="AF399" s="437"/>
      <c r="AG399" s="437"/>
      <c r="AH399" s="437"/>
      <c r="AI399" s="437"/>
      <c r="AJ399" s="437"/>
      <c r="AK399" s="437"/>
      <c r="AL399" s="437"/>
      <c r="AM399" s="437"/>
      <c r="AN399" s="437"/>
      <c r="AO399" s="437"/>
      <c r="AP399" s="437"/>
      <c r="AQ399" s="437"/>
      <c r="AR399" s="437"/>
      <c r="AS399" s="437"/>
      <c r="AT399" s="437"/>
      <c r="AU399" s="437"/>
      <c r="AV399" s="437"/>
    </row>
    <row r="400" spans="27:48" x14ac:dyDescent="0.25">
      <c r="AA400" s="437"/>
      <c r="AB400" s="437"/>
      <c r="AC400" s="437"/>
      <c r="AD400" s="437"/>
      <c r="AE400" s="437"/>
      <c r="AF400" s="437"/>
      <c r="AG400" s="437"/>
      <c r="AH400" s="437"/>
      <c r="AI400" s="437"/>
      <c r="AJ400" s="437"/>
      <c r="AK400" s="437"/>
      <c r="AL400" s="437"/>
      <c r="AM400" s="437"/>
      <c r="AN400" s="437"/>
      <c r="AO400" s="437"/>
      <c r="AP400" s="437"/>
      <c r="AQ400" s="437"/>
      <c r="AR400" s="437"/>
      <c r="AS400" s="437"/>
      <c r="AT400" s="437"/>
      <c r="AU400" s="437"/>
      <c r="AV400" s="437"/>
    </row>
    <row r="401" spans="27:48" x14ac:dyDescent="0.25">
      <c r="AA401" s="437"/>
      <c r="AB401" s="437"/>
      <c r="AC401" s="437"/>
      <c r="AD401" s="437"/>
      <c r="AE401" s="437"/>
      <c r="AF401" s="437"/>
      <c r="AG401" s="437"/>
      <c r="AH401" s="437"/>
      <c r="AI401" s="437"/>
      <c r="AJ401" s="437"/>
      <c r="AK401" s="437"/>
      <c r="AL401" s="437"/>
      <c r="AM401" s="437"/>
      <c r="AN401" s="437"/>
      <c r="AO401" s="437"/>
      <c r="AP401" s="437"/>
      <c r="AQ401" s="437"/>
      <c r="AR401" s="437"/>
      <c r="AS401" s="437"/>
      <c r="AT401" s="437"/>
      <c r="AU401" s="437"/>
      <c r="AV401" s="437"/>
    </row>
    <row r="402" spans="27:48" x14ac:dyDescent="0.25">
      <c r="AA402" s="437"/>
      <c r="AB402" s="437"/>
      <c r="AC402" s="437"/>
      <c r="AD402" s="437"/>
      <c r="AE402" s="437"/>
      <c r="AF402" s="437"/>
      <c r="AG402" s="437"/>
      <c r="AH402" s="437"/>
      <c r="AI402" s="437"/>
      <c r="AJ402" s="437"/>
      <c r="AK402" s="437"/>
      <c r="AL402" s="437"/>
      <c r="AM402" s="437"/>
      <c r="AN402" s="437"/>
      <c r="AO402" s="437"/>
      <c r="AP402" s="437"/>
      <c r="AQ402" s="437"/>
      <c r="AR402" s="437"/>
      <c r="AS402" s="437"/>
      <c r="AT402" s="437"/>
      <c r="AU402" s="437"/>
      <c r="AV402" s="437"/>
    </row>
    <row r="403" spans="27:48" x14ac:dyDescent="0.25">
      <c r="AA403" s="437"/>
      <c r="AB403" s="437"/>
      <c r="AC403" s="437"/>
      <c r="AD403" s="437"/>
      <c r="AE403" s="437"/>
      <c r="AF403" s="437"/>
      <c r="AG403" s="437"/>
      <c r="AH403" s="437"/>
      <c r="AI403" s="437"/>
      <c r="AJ403" s="437"/>
      <c r="AK403" s="437"/>
      <c r="AL403" s="437"/>
      <c r="AM403" s="437"/>
      <c r="AN403" s="437"/>
      <c r="AO403" s="437"/>
      <c r="AP403" s="437"/>
      <c r="AQ403" s="437"/>
      <c r="AR403" s="437"/>
      <c r="AS403" s="437"/>
      <c r="AT403" s="437"/>
      <c r="AU403" s="437"/>
      <c r="AV403" s="437"/>
    </row>
    <row r="404" spans="27:48" x14ac:dyDescent="0.25">
      <c r="AA404" s="437"/>
      <c r="AB404" s="437"/>
      <c r="AC404" s="437"/>
      <c r="AD404" s="437"/>
      <c r="AE404" s="437"/>
      <c r="AF404" s="437"/>
      <c r="AG404" s="437"/>
      <c r="AH404" s="437"/>
      <c r="AI404" s="437"/>
      <c r="AJ404" s="437"/>
      <c r="AK404" s="437"/>
      <c r="AL404" s="437"/>
      <c r="AM404" s="437"/>
      <c r="AN404" s="437"/>
      <c r="AO404" s="437"/>
      <c r="AP404" s="437"/>
      <c r="AQ404" s="437"/>
      <c r="AR404" s="437"/>
      <c r="AS404" s="437"/>
      <c r="AT404" s="437"/>
      <c r="AU404" s="437"/>
      <c r="AV404" s="437"/>
    </row>
    <row r="405" spans="27:48" x14ac:dyDescent="0.25">
      <c r="AA405" s="437"/>
      <c r="AB405" s="437"/>
      <c r="AC405" s="437"/>
      <c r="AD405" s="437"/>
      <c r="AE405" s="437"/>
      <c r="AF405" s="437"/>
      <c r="AG405" s="437"/>
      <c r="AH405" s="437"/>
      <c r="AI405" s="437"/>
      <c r="AJ405" s="437"/>
      <c r="AK405" s="437"/>
      <c r="AL405" s="437"/>
      <c r="AM405" s="437"/>
      <c r="AN405" s="437"/>
      <c r="AO405" s="437"/>
      <c r="AP405" s="437"/>
      <c r="AQ405" s="437"/>
      <c r="AR405" s="437"/>
      <c r="AS405" s="437"/>
      <c r="AT405" s="437"/>
      <c r="AU405" s="437"/>
      <c r="AV405" s="437"/>
    </row>
    <row r="406" spans="27:48" x14ac:dyDescent="0.25">
      <c r="AA406" s="437"/>
      <c r="AB406" s="437"/>
      <c r="AC406" s="437"/>
      <c r="AD406" s="437"/>
      <c r="AE406" s="437"/>
      <c r="AF406" s="437"/>
      <c r="AG406" s="437"/>
      <c r="AH406" s="437"/>
      <c r="AI406" s="437"/>
      <c r="AJ406" s="437"/>
      <c r="AK406" s="437"/>
      <c r="AL406" s="437"/>
      <c r="AM406" s="437"/>
      <c r="AN406" s="437"/>
      <c r="AO406" s="437"/>
      <c r="AP406" s="437"/>
      <c r="AQ406" s="437"/>
      <c r="AR406" s="437"/>
      <c r="AS406" s="437"/>
      <c r="AT406" s="437"/>
      <c r="AU406" s="437"/>
      <c r="AV406" s="437"/>
    </row>
    <row r="407" spans="27:48" x14ac:dyDescent="0.25">
      <c r="AA407" s="437"/>
      <c r="AB407" s="437"/>
      <c r="AC407" s="437"/>
      <c r="AD407" s="437"/>
      <c r="AE407" s="437"/>
      <c r="AF407" s="437"/>
      <c r="AG407" s="437"/>
      <c r="AH407" s="437"/>
      <c r="AI407" s="437"/>
      <c r="AJ407" s="437"/>
      <c r="AK407" s="437"/>
      <c r="AL407" s="437"/>
      <c r="AM407" s="437"/>
      <c r="AN407" s="437"/>
      <c r="AO407" s="437"/>
      <c r="AP407" s="437"/>
      <c r="AQ407" s="437"/>
      <c r="AR407" s="437"/>
      <c r="AS407" s="437"/>
      <c r="AT407" s="437"/>
      <c r="AU407" s="437"/>
      <c r="AV407" s="437"/>
    </row>
    <row r="408" spans="27:48" x14ac:dyDescent="0.25">
      <c r="AA408" s="437"/>
      <c r="AB408" s="437"/>
      <c r="AC408" s="437"/>
      <c r="AD408" s="437"/>
      <c r="AE408" s="437"/>
      <c r="AF408" s="437"/>
      <c r="AG408" s="437"/>
      <c r="AH408" s="437"/>
      <c r="AI408" s="437"/>
      <c r="AJ408" s="437"/>
      <c r="AK408" s="437"/>
      <c r="AL408" s="437"/>
      <c r="AM408" s="437"/>
      <c r="AN408" s="437"/>
      <c r="AO408" s="437"/>
      <c r="AP408" s="437"/>
      <c r="AQ408" s="437"/>
      <c r="AR408" s="437"/>
      <c r="AS408" s="437"/>
      <c r="AT408" s="437"/>
      <c r="AU408" s="437"/>
      <c r="AV408" s="437"/>
    </row>
    <row r="409" spans="27:48" x14ac:dyDescent="0.25">
      <c r="AA409" s="437"/>
      <c r="AB409" s="437"/>
      <c r="AC409" s="437"/>
      <c r="AD409" s="437"/>
      <c r="AE409" s="437"/>
      <c r="AF409" s="437"/>
      <c r="AG409" s="437"/>
      <c r="AH409" s="437"/>
      <c r="AI409" s="437"/>
      <c r="AJ409" s="437"/>
      <c r="AK409" s="437"/>
      <c r="AL409" s="437"/>
      <c r="AM409" s="437"/>
      <c r="AN409" s="437"/>
      <c r="AO409" s="437"/>
      <c r="AP409" s="437"/>
      <c r="AQ409" s="437"/>
      <c r="AR409" s="437"/>
      <c r="AS409" s="437"/>
      <c r="AT409" s="437"/>
      <c r="AU409" s="437"/>
      <c r="AV409" s="437"/>
    </row>
    <row r="410" spans="27:48" x14ac:dyDescent="0.25">
      <c r="AA410" s="437"/>
      <c r="AB410" s="437"/>
      <c r="AC410" s="437"/>
      <c r="AD410" s="437"/>
      <c r="AE410" s="437"/>
      <c r="AF410" s="437"/>
      <c r="AG410" s="437"/>
      <c r="AH410" s="437"/>
      <c r="AI410" s="437"/>
      <c r="AJ410" s="437"/>
      <c r="AK410" s="437"/>
      <c r="AL410" s="437"/>
      <c r="AM410" s="437"/>
      <c r="AN410" s="437"/>
      <c r="AO410" s="437"/>
      <c r="AP410" s="437"/>
      <c r="AQ410" s="437"/>
      <c r="AR410" s="437"/>
      <c r="AS410" s="437"/>
      <c r="AT410" s="437"/>
      <c r="AU410" s="437"/>
      <c r="AV410" s="437"/>
    </row>
    <row r="411" spans="27:48" x14ac:dyDescent="0.25">
      <c r="AA411" s="437"/>
      <c r="AB411" s="437"/>
      <c r="AC411" s="437"/>
      <c r="AD411" s="437"/>
      <c r="AE411" s="437"/>
      <c r="AF411" s="437"/>
      <c r="AG411" s="437"/>
      <c r="AH411" s="437"/>
      <c r="AI411" s="437"/>
      <c r="AJ411" s="437"/>
      <c r="AK411" s="437"/>
      <c r="AL411" s="437"/>
      <c r="AM411" s="437"/>
      <c r="AN411" s="437"/>
      <c r="AO411" s="437"/>
      <c r="AP411" s="437"/>
      <c r="AQ411" s="437"/>
      <c r="AR411" s="437"/>
      <c r="AS411" s="437"/>
      <c r="AT411" s="437"/>
      <c r="AU411" s="437"/>
      <c r="AV411" s="437"/>
    </row>
    <row r="412" spans="27:48" x14ac:dyDescent="0.25">
      <c r="AA412" s="437"/>
      <c r="AB412" s="437"/>
      <c r="AC412" s="437"/>
      <c r="AD412" s="437"/>
      <c r="AE412" s="437"/>
      <c r="AF412" s="437"/>
      <c r="AG412" s="437"/>
      <c r="AH412" s="437"/>
      <c r="AI412" s="437"/>
      <c r="AJ412" s="437"/>
      <c r="AK412" s="437"/>
      <c r="AL412" s="437"/>
      <c r="AM412" s="437"/>
      <c r="AN412" s="437"/>
      <c r="AO412" s="437"/>
      <c r="AP412" s="437"/>
      <c r="AQ412" s="437"/>
      <c r="AR412" s="437"/>
      <c r="AS412" s="437"/>
      <c r="AT412" s="437"/>
      <c r="AU412" s="437"/>
      <c r="AV412" s="437"/>
    </row>
    <row r="413" spans="27:48" x14ac:dyDescent="0.25">
      <c r="AA413" s="437"/>
      <c r="AB413" s="437"/>
      <c r="AC413" s="437"/>
      <c r="AD413" s="437"/>
      <c r="AE413" s="437"/>
      <c r="AF413" s="437"/>
      <c r="AG413" s="437"/>
      <c r="AH413" s="437"/>
      <c r="AI413" s="437"/>
      <c r="AJ413" s="437"/>
      <c r="AK413" s="437"/>
      <c r="AL413" s="437"/>
      <c r="AM413" s="437"/>
      <c r="AN413" s="437"/>
      <c r="AO413" s="437"/>
      <c r="AP413" s="437"/>
      <c r="AQ413" s="437"/>
      <c r="AR413" s="437"/>
      <c r="AS413" s="437"/>
      <c r="AT413" s="437"/>
      <c r="AU413" s="437"/>
      <c r="AV413" s="437"/>
    </row>
    <row r="414" spans="27:48" x14ac:dyDescent="0.25">
      <c r="AA414" s="437"/>
      <c r="AB414" s="437"/>
      <c r="AC414" s="437"/>
      <c r="AD414" s="437"/>
      <c r="AE414" s="437"/>
      <c r="AF414" s="437"/>
      <c r="AG414" s="437"/>
      <c r="AH414" s="437"/>
      <c r="AI414" s="437"/>
      <c r="AJ414" s="437"/>
      <c r="AK414" s="437"/>
      <c r="AL414" s="437"/>
      <c r="AM414" s="437"/>
      <c r="AN414" s="437"/>
      <c r="AO414" s="437"/>
      <c r="AP414" s="437"/>
      <c r="AQ414" s="437"/>
      <c r="AR414" s="437"/>
      <c r="AS414" s="437"/>
      <c r="AT414" s="437"/>
      <c r="AU414" s="437"/>
      <c r="AV414" s="437"/>
    </row>
    <row r="415" spans="27:48" x14ac:dyDescent="0.25">
      <c r="AA415" s="437"/>
      <c r="AB415" s="437"/>
      <c r="AC415" s="437"/>
      <c r="AD415" s="437"/>
      <c r="AE415" s="437"/>
      <c r="AF415" s="437"/>
      <c r="AG415" s="437"/>
      <c r="AH415" s="437"/>
      <c r="AI415" s="437"/>
      <c r="AJ415" s="437"/>
      <c r="AK415" s="437"/>
      <c r="AL415" s="437"/>
      <c r="AM415" s="437"/>
      <c r="AN415" s="437"/>
      <c r="AO415" s="437"/>
      <c r="AP415" s="437"/>
      <c r="AQ415" s="437"/>
      <c r="AR415" s="437"/>
      <c r="AS415" s="437"/>
      <c r="AT415" s="437"/>
      <c r="AU415" s="437"/>
      <c r="AV415" s="437"/>
    </row>
    <row r="416" spans="27:48" x14ac:dyDescent="0.25">
      <c r="AA416" s="437"/>
      <c r="AB416" s="437"/>
      <c r="AC416" s="437"/>
      <c r="AD416" s="437"/>
      <c r="AE416" s="437"/>
      <c r="AF416" s="437"/>
      <c r="AG416" s="437"/>
      <c r="AH416" s="437"/>
      <c r="AI416" s="437"/>
      <c r="AJ416" s="437"/>
      <c r="AK416" s="437"/>
      <c r="AL416" s="437"/>
      <c r="AM416" s="437"/>
      <c r="AN416" s="437"/>
      <c r="AO416" s="437"/>
      <c r="AP416" s="437"/>
      <c r="AQ416" s="437"/>
      <c r="AR416" s="437"/>
      <c r="AS416" s="437"/>
      <c r="AT416" s="437"/>
      <c r="AU416" s="437"/>
      <c r="AV416" s="437"/>
    </row>
    <row r="417" spans="27:48" x14ac:dyDescent="0.25">
      <c r="AA417" s="437"/>
      <c r="AB417" s="437"/>
      <c r="AC417" s="437"/>
      <c r="AD417" s="437"/>
      <c r="AE417" s="437"/>
      <c r="AF417" s="437"/>
      <c r="AG417" s="437"/>
      <c r="AH417" s="437"/>
      <c r="AI417" s="437"/>
      <c r="AJ417" s="437"/>
      <c r="AK417" s="437"/>
      <c r="AL417" s="437"/>
      <c r="AM417" s="437"/>
      <c r="AN417" s="437"/>
      <c r="AO417" s="437"/>
      <c r="AP417" s="437"/>
      <c r="AQ417" s="437"/>
      <c r="AR417" s="437"/>
      <c r="AS417" s="437"/>
      <c r="AT417" s="437"/>
      <c r="AU417" s="437"/>
      <c r="AV417" s="437"/>
    </row>
    <row r="418" spans="27:48" x14ac:dyDescent="0.25">
      <c r="AA418" s="437"/>
      <c r="AB418" s="437"/>
      <c r="AC418" s="437"/>
      <c r="AD418" s="437"/>
      <c r="AE418" s="437"/>
      <c r="AF418" s="437"/>
      <c r="AG418" s="437"/>
      <c r="AH418" s="437"/>
      <c r="AI418" s="437"/>
      <c r="AJ418" s="437"/>
      <c r="AK418" s="437"/>
      <c r="AL418" s="437"/>
      <c r="AM418" s="437"/>
      <c r="AN418" s="437"/>
      <c r="AO418" s="437"/>
      <c r="AP418" s="437"/>
      <c r="AQ418" s="437"/>
      <c r="AR418" s="437"/>
      <c r="AS418" s="437"/>
      <c r="AT418" s="437"/>
      <c r="AU418" s="437"/>
      <c r="AV418" s="437"/>
    </row>
    <row r="419" spans="27:48" x14ac:dyDescent="0.25">
      <c r="AA419" s="437"/>
      <c r="AB419" s="437"/>
      <c r="AC419" s="437"/>
      <c r="AD419" s="437"/>
      <c r="AE419" s="437"/>
      <c r="AF419" s="437"/>
      <c r="AG419" s="437"/>
      <c r="AH419" s="437"/>
      <c r="AI419" s="437"/>
      <c r="AJ419" s="437"/>
      <c r="AK419" s="437"/>
      <c r="AL419" s="437"/>
      <c r="AM419" s="437"/>
      <c r="AN419" s="437"/>
      <c r="AO419" s="437"/>
      <c r="AP419" s="437"/>
      <c r="AQ419" s="437"/>
      <c r="AR419" s="437"/>
      <c r="AS419" s="437"/>
      <c r="AT419" s="437"/>
      <c r="AU419" s="437"/>
      <c r="AV419" s="437"/>
    </row>
    <row r="420" spans="27:48" x14ac:dyDescent="0.25">
      <c r="AA420" s="437"/>
      <c r="AB420" s="437"/>
      <c r="AC420" s="437"/>
      <c r="AD420" s="437"/>
      <c r="AE420" s="437"/>
      <c r="AF420" s="437"/>
      <c r="AG420" s="437"/>
      <c r="AH420" s="437"/>
      <c r="AI420" s="437"/>
      <c r="AJ420" s="437"/>
      <c r="AK420" s="437"/>
      <c r="AL420" s="437"/>
      <c r="AM420" s="437"/>
      <c r="AN420" s="437"/>
      <c r="AO420" s="437"/>
      <c r="AP420" s="437"/>
      <c r="AQ420" s="437"/>
      <c r="AR420" s="437"/>
      <c r="AS420" s="437"/>
      <c r="AT420" s="437"/>
      <c r="AU420" s="437"/>
      <c r="AV420" s="437"/>
    </row>
    <row r="421" spans="27:48" x14ac:dyDescent="0.25">
      <c r="AA421" s="437"/>
      <c r="AB421" s="437"/>
      <c r="AC421" s="437"/>
      <c r="AD421" s="437"/>
      <c r="AE421" s="437"/>
      <c r="AF421" s="437"/>
      <c r="AG421" s="437"/>
      <c r="AH421" s="437"/>
      <c r="AI421" s="437"/>
      <c r="AJ421" s="437"/>
      <c r="AK421" s="437"/>
      <c r="AL421" s="437"/>
      <c r="AM421" s="437"/>
      <c r="AN421" s="437"/>
      <c r="AO421" s="437"/>
      <c r="AP421" s="437"/>
      <c r="AQ421" s="437"/>
      <c r="AR421" s="437"/>
      <c r="AS421" s="437"/>
      <c r="AT421" s="437"/>
      <c r="AU421" s="437"/>
      <c r="AV421" s="437"/>
    </row>
    <row r="422" spans="27:48" x14ac:dyDescent="0.25">
      <c r="AA422" s="437"/>
      <c r="AB422" s="437"/>
      <c r="AC422" s="437"/>
      <c r="AD422" s="437"/>
      <c r="AE422" s="437"/>
      <c r="AF422" s="437"/>
      <c r="AG422" s="437"/>
      <c r="AH422" s="437"/>
      <c r="AI422" s="437"/>
      <c r="AJ422" s="437"/>
      <c r="AK422" s="437"/>
      <c r="AL422" s="437"/>
      <c r="AM422" s="437"/>
      <c r="AN422" s="437"/>
      <c r="AO422" s="437"/>
      <c r="AP422" s="437"/>
      <c r="AQ422" s="437"/>
      <c r="AR422" s="437"/>
      <c r="AS422" s="437"/>
      <c r="AT422" s="437"/>
      <c r="AU422" s="437"/>
      <c r="AV422" s="437"/>
    </row>
    <row r="423" spans="27:48" x14ac:dyDescent="0.25">
      <c r="AA423" s="437"/>
      <c r="AB423" s="437"/>
      <c r="AC423" s="437"/>
      <c r="AD423" s="437"/>
      <c r="AE423" s="437"/>
      <c r="AF423" s="437"/>
      <c r="AG423" s="437"/>
      <c r="AH423" s="437"/>
      <c r="AI423" s="437"/>
      <c r="AJ423" s="437"/>
      <c r="AK423" s="437"/>
      <c r="AL423" s="437"/>
      <c r="AM423" s="437"/>
      <c r="AN423" s="437"/>
      <c r="AO423" s="437"/>
      <c r="AP423" s="437"/>
      <c r="AQ423" s="437"/>
      <c r="AR423" s="437"/>
      <c r="AS423" s="437"/>
      <c r="AT423" s="437"/>
      <c r="AU423" s="437"/>
      <c r="AV423" s="437"/>
    </row>
    <row r="424" spans="27:48" x14ac:dyDescent="0.25">
      <c r="AA424" s="437"/>
      <c r="AB424" s="437"/>
      <c r="AC424" s="437"/>
      <c r="AD424" s="437"/>
      <c r="AE424" s="437"/>
      <c r="AF424" s="437"/>
      <c r="AG424" s="437"/>
      <c r="AH424" s="437"/>
      <c r="AI424" s="437"/>
      <c r="AJ424" s="437"/>
      <c r="AK424" s="437"/>
      <c r="AL424" s="437"/>
      <c r="AM424" s="437"/>
      <c r="AN424" s="437"/>
      <c r="AO424" s="437"/>
      <c r="AP424" s="437"/>
      <c r="AQ424" s="437"/>
      <c r="AR424" s="437"/>
      <c r="AS424" s="437"/>
      <c r="AT424" s="437"/>
      <c r="AU424" s="437"/>
      <c r="AV424" s="437"/>
    </row>
    <row r="425" spans="27:48" x14ac:dyDescent="0.25">
      <c r="AA425" s="437"/>
      <c r="AB425" s="437"/>
      <c r="AC425" s="437"/>
      <c r="AD425" s="437"/>
      <c r="AE425" s="437"/>
      <c r="AF425" s="437"/>
      <c r="AG425" s="437"/>
      <c r="AH425" s="437"/>
      <c r="AI425" s="437"/>
      <c r="AJ425" s="437"/>
      <c r="AK425" s="437"/>
      <c r="AL425" s="437"/>
      <c r="AM425" s="437"/>
      <c r="AN425" s="437"/>
      <c r="AO425" s="437"/>
      <c r="AP425" s="437"/>
      <c r="AQ425" s="437"/>
      <c r="AR425" s="437"/>
      <c r="AS425" s="437"/>
      <c r="AT425" s="437"/>
      <c r="AU425" s="437"/>
      <c r="AV425" s="437"/>
    </row>
    <row r="426" spans="27:48" x14ac:dyDescent="0.25">
      <c r="AA426" s="437"/>
      <c r="AB426" s="437"/>
      <c r="AC426" s="437"/>
      <c r="AD426" s="437"/>
      <c r="AE426" s="437"/>
      <c r="AF426" s="437"/>
      <c r="AG426" s="437"/>
      <c r="AH426" s="437"/>
      <c r="AI426" s="437"/>
      <c r="AJ426" s="437"/>
      <c r="AK426" s="437"/>
      <c r="AL426" s="437"/>
      <c r="AM426" s="437"/>
      <c r="AN426" s="437"/>
      <c r="AO426" s="437"/>
      <c r="AP426" s="437"/>
      <c r="AQ426" s="437"/>
      <c r="AR426" s="437"/>
      <c r="AS426" s="437"/>
      <c r="AT426" s="437"/>
      <c r="AU426" s="437"/>
      <c r="AV426" s="437"/>
    </row>
    <row r="427" spans="27:48" x14ac:dyDescent="0.25">
      <c r="AA427" s="437"/>
      <c r="AB427" s="437"/>
      <c r="AC427" s="437"/>
      <c r="AD427" s="437"/>
      <c r="AE427" s="437"/>
      <c r="AF427" s="437"/>
      <c r="AG427" s="437"/>
      <c r="AH427" s="437"/>
      <c r="AI427" s="437"/>
      <c r="AJ427" s="437"/>
      <c r="AK427" s="437"/>
      <c r="AL427" s="437"/>
      <c r="AM427" s="437"/>
      <c r="AN427" s="437"/>
      <c r="AO427" s="437"/>
      <c r="AP427" s="437"/>
      <c r="AQ427" s="437"/>
      <c r="AR427" s="437"/>
      <c r="AS427" s="437"/>
      <c r="AT427" s="437"/>
      <c r="AU427" s="437"/>
      <c r="AV427" s="437"/>
    </row>
    <row r="428" spans="27:48" x14ac:dyDescent="0.25">
      <c r="AA428" s="437"/>
      <c r="AB428" s="437"/>
      <c r="AC428" s="437"/>
      <c r="AD428" s="437"/>
      <c r="AE428" s="437"/>
      <c r="AF428" s="437"/>
      <c r="AG428" s="437"/>
      <c r="AH428" s="437"/>
      <c r="AI428" s="437"/>
      <c r="AJ428" s="437"/>
      <c r="AK428" s="437"/>
      <c r="AL428" s="437"/>
      <c r="AM428" s="437"/>
      <c r="AN428" s="437"/>
      <c r="AO428" s="437"/>
      <c r="AP428" s="437"/>
      <c r="AQ428" s="437"/>
      <c r="AR428" s="437"/>
      <c r="AS428" s="437"/>
      <c r="AT428" s="437"/>
      <c r="AU428" s="437"/>
      <c r="AV428" s="437"/>
    </row>
    <row r="429" spans="27:48" x14ac:dyDescent="0.25">
      <c r="AA429" s="437"/>
      <c r="AB429" s="437"/>
      <c r="AC429" s="437"/>
      <c r="AD429" s="437"/>
      <c r="AE429" s="437"/>
      <c r="AF429" s="437"/>
      <c r="AG429" s="437"/>
      <c r="AH429" s="437"/>
      <c r="AI429" s="437"/>
      <c r="AJ429" s="437"/>
      <c r="AK429" s="437"/>
      <c r="AL429" s="437"/>
      <c r="AM429" s="437"/>
      <c r="AN429" s="437"/>
      <c r="AO429" s="437"/>
      <c r="AP429" s="437"/>
      <c r="AQ429" s="437"/>
      <c r="AR429" s="437"/>
      <c r="AS429" s="437"/>
      <c r="AT429" s="437"/>
      <c r="AU429" s="437"/>
      <c r="AV429" s="437"/>
    </row>
    <row r="430" spans="27:48" x14ac:dyDescent="0.25">
      <c r="AA430" s="437"/>
      <c r="AB430" s="437"/>
      <c r="AC430" s="437"/>
      <c r="AD430" s="437"/>
      <c r="AE430" s="437"/>
      <c r="AF430" s="437"/>
      <c r="AG430" s="437"/>
      <c r="AH430" s="437"/>
      <c r="AI430" s="437"/>
      <c r="AJ430" s="437"/>
      <c r="AK430" s="437"/>
      <c r="AL430" s="437"/>
      <c r="AM430" s="437"/>
      <c r="AN430" s="437"/>
      <c r="AO430" s="437"/>
      <c r="AP430" s="437"/>
      <c r="AQ430" s="437"/>
      <c r="AR430" s="437"/>
      <c r="AS430" s="437"/>
      <c r="AT430" s="437"/>
      <c r="AU430" s="437"/>
      <c r="AV430" s="437"/>
    </row>
    <row r="431" spans="27:48" x14ac:dyDescent="0.25">
      <c r="AA431" s="437"/>
      <c r="AB431" s="437"/>
      <c r="AC431" s="437"/>
      <c r="AD431" s="437"/>
      <c r="AE431" s="437"/>
      <c r="AF431" s="437"/>
      <c r="AG431" s="437"/>
      <c r="AH431" s="437"/>
      <c r="AI431" s="437"/>
      <c r="AJ431" s="437"/>
      <c r="AK431" s="437"/>
      <c r="AL431" s="437"/>
      <c r="AM431" s="437"/>
      <c r="AN431" s="437"/>
      <c r="AO431" s="437"/>
      <c r="AP431" s="437"/>
      <c r="AQ431" s="437"/>
      <c r="AR431" s="437"/>
      <c r="AS431" s="437"/>
      <c r="AT431" s="437"/>
      <c r="AU431" s="437"/>
      <c r="AV431" s="437"/>
    </row>
    <row r="432" spans="27:48" x14ac:dyDescent="0.25">
      <c r="AA432" s="437"/>
      <c r="AB432" s="437"/>
      <c r="AC432" s="437"/>
      <c r="AD432" s="437"/>
      <c r="AE432" s="437"/>
      <c r="AF432" s="437"/>
      <c r="AG432" s="437"/>
      <c r="AH432" s="437"/>
      <c r="AI432" s="437"/>
      <c r="AJ432" s="437"/>
      <c r="AK432" s="437"/>
      <c r="AL432" s="437"/>
      <c r="AM432" s="437"/>
      <c r="AN432" s="437"/>
      <c r="AO432" s="437"/>
      <c r="AP432" s="437"/>
      <c r="AQ432" s="437"/>
      <c r="AR432" s="437"/>
      <c r="AS432" s="437"/>
      <c r="AT432" s="437"/>
      <c r="AU432" s="437"/>
      <c r="AV432" s="437"/>
    </row>
    <row r="433" spans="27:48" x14ac:dyDescent="0.25">
      <c r="AA433" s="437"/>
      <c r="AB433" s="437"/>
      <c r="AC433" s="437"/>
      <c r="AD433" s="437"/>
      <c r="AE433" s="437"/>
      <c r="AF433" s="437"/>
      <c r="AG433" s="437"/>
      <c r="AH433" s="437"/>
      <c r="AI433" s="437"/>
      <c r="AJ433" s="437"/>
      <c r="AK433" s="437"/>
      <c r="AL433" s="437"/>
      <c r="AM433" s="437"/>
      <c r="AN433" s="437"/>
      <c r="AO433" s="437"/>
      <c r="AP433" s="437"/>
      <c r="AQ433" s="437"/>
      <c r="AR433" s="437"/>
      <c r="AS433" s="437"/>
      <c r="AT433" s="437"/>
      <c r="AU433" s="437"/>
      <c r="AV433" s="437"/>
    </row>
    <row r="434" spans="27:48" x14ac:dyDescent="0.25">
      <c r="AA434" s="437"/>
      <c r="AB434" s="437"/>
      <c r="AC434" s="437"/>
      <c r="AD434" s="437"/>
      <c r="AE434" s="437"/>
      <c r="AF434" s="437"/>
      <c r="AG434" s="437"/>
      <c r="AH434" s="437"/>
      <c r="AI434" s="437"/>
      <c r="AJ434" s="437"/>
      <c r="AK434" s="437"/>
      <c r="AL434" s="437"/>
      <c r="AM434" s="437"/>
      <c r="AN434" s="437"/>
      <c r="AO434" s="437"/>
      <c r="AP434" s="437"/>
      <c r="AQ434" s="437"/>
      <c r="AR434" s="437"/>
      <c r="AS434" s="437"/>
      <c r="AT434" s="437"/>
      <c r="AU434" s="437"/>
      <c r="AV434" s="437"/>
    </row>
    <row r="435" spans="27:48" x14ac:dyDescent="0.25">
      <c r="AA435" s="437"/>
      <c r="AB435" s="437"/>
      <c r="AC435" s="437"/>
      <c r="AD435" s="437"/>
      <c r="AE435" s="437"/>
      <c r="AF435" s="437"/>
      <c r="AG435" s="437"/>
      <c r="AH435" s="437"/>
      <c r="AI435" s="437"/>
      <c r="AJ435" s="437"/>
      <c r="AK435" s="437"/>
      <c r="AL435" s="437"/>
      <c r="AM435" s="437"/>
      <c r="AN435" s="437"/>
      <c r="AO435" s="437"/>
      <c r="AP435" s="437"/>
      <c r="AQ435" s="437"/>
      <c r="AR435" s="437"/>
      <c r="AS435" s="437"/>
      <c r="AT435" s="437"/>
      <c r="AU435" s="437"/>
      <c r="AV435" s="437"/>
    </row>
    <row r="436" spans="27:48" x14ac:dyDescent="0.25">
      <c r="AA436" s="437"/>
      <c r="AB436" s="437"/>
      <c r="AC436" s="437"/>
      <c r="AD436" s="437"/>
      <c r="AE436" s="437"/>
      <c r="AF436" s="437"/>
      <c r="AG436" s="437"/>
      <c r="AH436" s="437"/>
      <c r="AI436" s="437"/>
      <c r="AJ436" s="437"/>
      <c r="AK436" s="437"/>
      <c r="AL436" s="437"/>
      <c r="AM436" s="437"/>
      <c r="AN436" s="437"/>
      <c r="AO436" s="437"/>
      <c r="AP436" s="437"/>
      <c r="AQ436" s="437"/>
      <c r="AR436" s="437"/>
      <c r="AS436" s="437"/>
      <c r="AT436" s="437"/>
      <c r="AU436" s="437"/>
      <c r="AV436" s="437"/>
    </row>
    <row r="437" spans="27:48" x14ac:dyDescent="0.25">
      <c r="AA437" s="437"/>
      <c r="AB437" s="437"/>
      <c r="AC437" s="437"/>
      <c r="AD437" s="437"/>
      <c r="AE437" s="437"/>
      <c r="AF437" s="437"/>
      <c r="AG437" s="437"/>
      <c r="AH437" s="437"/>
      <c r="AI437" s="437"/>
      <c r="AJ437" s="437"/>
      <c r="AK437" s="437"/>
      <c r="AL437" s="437"/>
      <c r="AM437" s="437"/>
      <c r="AN437" s="437"/>
      <c r="AO437" s="437"/>
      <c r="AP437" s="437"/>
      <c r="AQ437" s="437"/>
      <c r="AR437" s="437"/>
      <c r="AS437" s="437"/>
      <c r="AT437" s="437"/>
      <c r="AU437" s="437"/>
      <c r="AV437" s="437"/>
    </row>
    <row r="438" spans="27:48" x14ac:dyDescent="0.25">
      <c r="AA438" s="437"/>
      <c r="AB438" s="437"/>
      <c r="AC438" s="437"/>
      <c r="AD438" s="437"/>
      <c r="AE438" s="437"/>
      <c r="AF438" s="437"/>
      <c r="AG438" s="437"/>
      <c r="AH438" s="437"/>
      <c r="AI438" s="437"/>
      <c r="AJ438" s="437"/>
      <c r="AK438" s="437"/>
      <c r="AL438" s="437"/>
      <c r="AM438" s="437"/>
      <c r="AN438" s="437"/>
      <c r="AO438" s="437"/>
      <c r="AP438" s="437"/>
      <c r="AQ438" s="437"/>
      <c r="AR438" s="437"/>
      <c r="AS438" s="437"/>
      <c r="AT438" s="437"/>
      <c r="AU438" s="437"/>
      <c r="AV438" s="437"/>
    </row>
    <row r="439" spans="27:48" x14ac:dyDescent="0.25">
      <c r="AA439" s="437"/>
      <c r="AB439" s="437"/>
      <c r="AC439" s="437"/>
      <c r="AD439" s="437"/>
      <c r="AE439" s="437"/>
      <c r="AF439" s="437"/>
      <c r="AG439" s="437"/>
      <c r="AH439" s="437"/>
      <c r="AI439" s="437"/>
      <c r="AJ439" s="437"/>
      <c r="AK439" s="437"/>
      <c r="AL439" s="437"/>
      <c r="AM439" s="437"/>
      <c r="AN439" s="437"/>
      <c r="AO439" s="437"/>
      <c r="AP439" s="437"/>
      <c r="AQ439" s="437"/>
      <c r="AR439" s="437"/>
      <c r="AS439" s="437"/>
      <c r="AT439" s="437"/>
      <c r="AU439" s="437"/>
      <c r="AV439" s="437"/>
    </row>
    <row r="440" spans="27:48" x14ac:dyDescent="0.25">
      <c r="AA440" s="437"/>
      <c r="AB440" s="437"/>
      <c r="AC440" s="437"/>
      <c r="AD440" s="437"/>
      <c r="AE440" s="437"/>
      <c r="AF440" s="437"/>
      <c r="AG440" s="437"/>
      <c r="AH440" s="437"/>
      <c r="AI440" s="437"/>
      <c r="AJ440" s="437"/>
      <c r="AK440" s="437"/>
      <c r="AL440" s="437"/>
      <c r="AM440" s="437"/>
      <c r="AN440" s="437"/>
      <c r="AO440" s="437"/>
      <c r="AP440" s="437"/>
      <c r="AQ440" s="437"/>
      <c r="AR440" s="437"/>
      <c r="AS440" s="437"/>
      <c r="AT440" s="437"/>
      <c r="AU440" s="437"/>
      <c r="AV440" s="437"/>
    </row>
    <row r="441" spans="27:48" x14ac:dyDescent="0.25">
      <c r="AA441" s="437"/>
      <c r="AB441" s="437"/>
      <c r="AC441" s="437"/>
      <c r="AD441" s="437"/>
      <c r="AE441" s="437"/>
      <c r="AF441" s="437"/>
      <c r="AG441" s="437"/>
      <c r="AH441" s="437"/>
      <c r="AI441" s="437"/>
      <c r="AJ441" s="437"/>
      <c r="AK441" s="437"/>
      <c r="AL441" s="437"/>
      <c r="AM441" s="437"/>
      <c r="AN441" s="437"/>
      <c r="AO441" s="437"/>
      <c r="AP441" s="437"/>
      <c r="AQ441" s="437"/>
      <c r="AR441" s="437"/>
      <c r="AS441" s="437"/>
      <c r="AT441" s="437"/>
      <c r="AU441" s="437"/>
      <c r="AV441" s="437"/>
    </row>
    <row r="442" spans="27:48" x14ac:dyDescent="0.25">
      <c r="AA442" s="437"/>
      <c r="AB442" s="437"/>
      <c r="AC442" s="437"/>
      <c r="AD442" s="437"/>
      <c r="AE442" s="437"/>
      <c r="AF442" s="437"/>
      <c r="AG442" s="437"/>
      <c r="AH442" s="437"/>
      <c r="AI442" s="437"/>
      <c r="AJ442" s="437"/>
      <c r="AK442" s="437"/>
      <c r="AL442" s="437"/>
      <c r="AM442" s="437"/>
      <c r="AN442" s="437"/>
      <c r="AO442" s="437"/>
      <c r="AP442" s="437"/>
      <c r="AQ442" s="437"/>
      <c r="AR442" s="437"/>
      <c r="AS442" s="437"/>
      <c r="AT442" s="437"/>
      <c r="AU442" s="437"/>
      <c r="AV442" s="437"/>
    </row>
    <row r="443" spans="27:48" x14ac:dyDescent="0.25">
      <c r="AA443" s="437"/>
      <c r="AB443" s="437"/>
      <c r="AC443" s="437"/>
      <c r="AD443" s="437"/>
      <c r="AE443" s="437"/>
      <c r="AF443" s="437"/>
      <c r="AG443" s="437"/>
      <c r="AH443" s="437"/>
      <c r="AI443" s="437"/>
      <c r="AJ443" s="437"/>
      <c r="AK443" s="437"/>
      <c r="AL443" s="437"/>
      <c r="AM443" s="437"/>
      <c r="AN443" s="437"/>
      <c r="AO443" s="437"/>
      <c r="AP443" s="437"/>
      <c r="AQ443" s="437"/>
      <c r="AR443" s="437"/>
      <c r="AS443" s="437"/>
      <c r="AT443" s="437"/>
      <c r="AU443" s="437"/>
      <c r="AV443" s="437"/>
    </row>
    <row r="444" spans="27:48" x14ac:dyDescent="0.25">
      <c r="AA444" s="437"/>
      <c r="AB444" s="437"/>
      <c r="AC444" s="437"/>
      <c r="AD444" s="437"/>
      <c r="AE444" s="437"/>
      <c r="AF444" s="437"/>
      <c r="AG444" s="437"/>
      <c r="AH444" s="437"/>
      <c r="AI444" s="437"/>
      <c r="AJ444" s="437"/>
      <c r="AK444" s="437"/>
      <c r="AL444" s="437"/>
      <c r="AM444" s="437"/>
      <c r="AN444" s="437"/>
      <c r="AO444" s="437"/>
      <c r="AP444" s="437"/>
      <c r="AQ444" s="437"/>
      <c r="AR444" s="437"/>
      <c r="AS444" s="437"/>
      <c r="AT444" s="437"/>
      <c r="AU444" s="437"/>
      <c r="AV444" s="437"/>
    </row>
    <row r="445" spans="27:48" x14ac:dyDescent="0.25">
      <c r="AA445" s="437"/>
      <c r="AB445" s="437"/>
      <c r="AC445" s="437"/>
      <c r="AD445" s="437"/>
      <c r="AE445" s="437"/>
      <c r="AF445" s="437"/>
      <c r="AG445" s="437"/>
      <c r="AH445" s="437"/>
      <c r="AI445" s="437"/>
      <c r="AJ445" s="437"/>
      <c r="AK445" s="437"/>
      <c r="AL445" s="437"/>
      <c r="AM445" s="437"/>
      <c r="AN445" s="437"/>
      <c r="AO445" s="437"/>
      <c r="AP445" s="437"/>
      <c r="AQ445" s="437"/>
      <c r="AR445" s="437"/>
      <c r="AS445" s="437"/>
      <c r="AT445" s="437"/>
      <c r="AU445" s="437"/>
      <c r="AV445" s="437"/>
    </row>
    <row r="446" spans="27:48" x14ac:dyDescent="0.25">
      <c r="AA446" s="437"/>
      <c r="AB446" s="437"/>
      <c r="AC446" s="437"/>
      <c r="AD446" s="437"/>
      <c r="AE446" s="437"/>
      <c r="AF446" s="437"/>
      <c r="AG446" s="437"/>
      <c r="AH446" s="437"/>
      <c r="AI446" s="437"/>
      <c r="AJ446" s="437"/>
      <c r="AK446" s="437"/>
      <c r="AL446" s="437"/>
      <c r="AM446" s="437"/>
      <c r="AN446" s="437"/>
      <c r="AO446" s="437"/>
      <c r="AP446" s="437"/>
      <c r="AQ446" s="437"/>
      <c r="AR446" s="437"/>
      <c r="AS446" s="437"/>
      <c r="AT446" s="437"/>
      <c r="AU446" s="437"/>
      <c r="AV446" s="437"/>
    </row>
    <row r="447" spans="27:48" x14ac:dyDescent="0.25">
      <c r="AA447" s="437"/>
      <c r="AB447" s="437"/>
      <c r="AC447" s="437"/>
      <c r="AD447" s="437"/>
      <c r="AE447" s="437"/>
      <c r="AF447" s="437"/>
      <c r="AG447" s="437"/>
      <c r="AH447" s="437"/>
      <c r="AI447" s="437"/>
      <c r="AJ447" s="437"/>
      <c r="AK447" s="437"/>
      <c r="AL447" s="437"/>
      <c r="AM447" s="437"/>
      <c r="AN447" s="437"/>
      <c r="AO447" s="437"/>
      <c r="AP447" s="437"/>
      <c r="AQ447" s="437"/>
      <c r="AR447" s="437"/>
      <c r="AS447" s="437"/>
      <c r="AT447" s="437"/>
      <c r="AU447" s="437"/>
      <c r="AV447" s="437"/>
    </row>
    <row r="448" spans="27:48" x14ac:dyDescent="0.25">
      <c r="AA448" s="437"/>
      <c r="AB448" s="437"/>
      <c r="AC448" s="437"/>
      <c r="AD448" s="437"/>
      <c r="AE448" s="437"/>
      <c r="AF448" s="437"/>
      <c r="AG448" s="437"/>
      <c r="AH448" s="437"/>
      <c r="AI448" s="437"/>
      <c r="AJ448" s="437"/>
      <c r="AK448" s="437"/>
      <c r="AL448" s="437"/>
      <c r="AM448" s="437"/>
      <c r="AN448" s="437"/>
      <c r="AO448" s="437"/>
      <c r="AP448" s="437"/>
      <c r="AQ448" s="437"/>
      <c r="AR448" s="437"/>
      <c r="AS448" s="437"/>
      <c r="AT448" s="437"/>
      <c r="AU448" s="437"/>
      <c r="AV448" s="437"/>
    </row>
    <row r="449" spans="27:48" x14ac:dyDescent="0.25">
      <c r="AA449" s="437"/>
      <c r="AB449" s="437"/>
      <c r="AC449" s="437"/>
      <c r="AD449" s="437"/>
      <c r="AE449" s="437"/>
      <c r="AF449" s="437"/>
      <c r="AG449" s="437"/>
      <c r="AH449" s="437"/>
      <c r="AI449" s="437"/>
      <c r="AJ449" s="437"/>
      <c r="AK449" s="437"/>
      <c r="AL449" s="437"/>
      <c r="AM449" s="437"/>
      <c r="AN449" s="437"/>
      <c r="AO449" s="437"/>
      <c r="AP449" s="437"/>
      <c r="AQ449" s="437"/>
      <c r="AR449" s="437"/>
      <c r="AS449" s="437"/>
      <c r="AT449" s="437"/>
      <c r="AU449" s="437"/>
      <c r="AV449" s="437"/>
    </row>
    <row r="450" spans="27:48" x14ac:dyDescent="0.25">
      <c r="AA450" s="437"/>
      <c r="AB450" s="437"/>
      <c r="AC450" s="437"/>
      <c r="AD450" s="437"/>
      <c r="AE450" s="437"/>
      <c r="AF450" s="437"/>
      <c r="AG450" s="437"/>
      <c r="AH450" s="437"/>
      <c r="AI450" s="437"/>
      <c r="AJ450" s="437"/>
      <c r="AK450" s="437"/>
      <c r="AL450" s="437"/>
      <c r="AM450" s="437"/>
      <c r="AN450" s="437"/>
      <c r="AO450" s="437"/>
      <c r="AP450" s="437"/>
      <c r="AQ450" s="437"/>
      <c r="AR450" s="437"/>
      <c r="AS450" s="437"/>
      <c r="AT450" s="437"/>
      <c r="AU450" s="437"/>
      <c r="AV450" s="437"/>
    </row>
    <row r="451" spans="27:48" x14ac:dyDescent="0.25">
      <c r="AA451" s="437"/>
      <c r="AB451" s="437"/>
      <c r="AC451" s="437"/>
      <c r="AD451" s="437"/>
      <c r="AE451" s="437"/>
      <c r="AF451" s="437"/>
      <c r="AG451" s="437"/>
      <c r="AH451" s="437"/>
      <c r="AI451" s="437"/>
      <c r="AJ451" s="437"/>
      <c r="AK451" s="437"/>
      <c r="AL451" s="437"/>
      <c r="AM451" s="437"/>
      <c r="AN451" s="437"/>
      <c r="AO451" s="437"/>
      <c r="AP451" s="437"/>
      <c r="AQ451" s="437"/>
      <c r="AR451" s="437"/>
      <c r="AS451" s="437"/>
      <c r="AT451" s="437"/>
      <c r="AU451" s="437"/>
      <c r="AV451" s="437"/>
    </row>
    <row r="452" spans="27:48" x14ac:dyDescent="0.25">
      <c r="AA452" s="437"/>
      <c r="AB452" s="437"/>
      <c r="AC452" s="437"/>
      <c r="AD452" s="437"/>
      <c r="AE452" s="437"/>
      <c r="AF452" s="437"/>
      <c r="AG452" s="437"/>
      <c r="AH452" s="437"/>
      <c r="AI452" s="437"/>
      <c r="AJ452" s="437"/>
      <c r="AK452" s="437"/>
      <c r="AL452" s="437"/>
      <c r="AM452" s="437"/>
      <c r="AN452" s="437"/>
      <c r="AO452" s="437"/>
      <c r="AP452" s="437"/>
      <c r="AQ452" s="437"/>
      <c r="AR452" s="437"/>
      <c r="AS452" s="437"/>
      <c r="AT452" s="437"/>
      <c r="AU452" s="437"/>
      <c r="AV452" s="437"/>
    </row>
    <row r="453" spans="27:48" x14ac:dyDescent="0.25">
      <c r="AA453" s="437"/>
      <c r="AB453" s="437"/>
      <c r="AC453" s="437"/>
      <c r="AD453" s="437"/>
      <c r="AE453" s="437"/>
      <c r="AF453" s="437"/>
      <c r="AG453" s="437"/>
      <c r="AH453" s="437"/>
      <c r="AI453" s="437"/>
      <c r="AJ453" s="437"/>
      <c r="AK453" s="437"/>
      <c r="AL453" s="437"/>
      <c r="AM453" s="437"/>
      <c r="AN453" s="437"/>
      <c r="AO453" s="437"/>
      <c r="AP453" s="437"/>
      <c r="AQ453" s="437"/>
      <c r="AR453" s="437"/>
      <c r="AS453" s="437"/>
      <c r="AT453" s="437"/>
      <c r="AU453" s="437"/>
      <c r="AV453" s="437"/>
    </row>
    <row r="454" spans="27:48" x14ac:dyDescent="0.25">
      <c r="AA454" s="437"/>
      <c r="AB454" s="437"/>
      <c r="AC454" s="437"/>
      <c r="AD454" s="437"/>
      <c r="AE454" s="437"/>
      <c r="AF454" s="437"/>
      <c r="AG454" s="437"/>
      <c r="AH454" s="437"/>
      <c r="AI454" s="437"/>
      <c r="AJ454" s="437"/>
      <c r="AK454" s="437"/>
      <c r="AL454" s="437"/>
      <c r="AM454" s="437"/>
      <c r="AN454" s="437"/>
      <c r="AO454" s="437"/>
      <c r="AP454" s="437"/>
      <c r="AQ454" s="437"/>
      <c r="AR454" s="437"/>
      <c r="AS454" s="437"/>
      <c r="AT454" s="437"/>
      <c r="AU454" s="437"/>
      <c r="AV454" s="437"/>
    </row>
    <row r="455" spans="27:48" x14ac:dyDescent="0.25">
      <c r="AA455" s="437"/>
      <c r="AB455" s="437"/>
      <c r="AC455" s="437"/>
      <c r="AD455" s="437"/>
      <c r="AE455" s="437"/>
      <c r="AF455" s="437"/>
      <c r="AG455" s="437"/>
      <c r="AH455" s="437"/>
      <c r="AI455" s="437"/>
      <c r="AJ455" s="437"/>
      <c r="AK455" s="437"/>
      <c r="AL455" s="437"/>
      <c r="AM455" s="437"/>
      <c r="AN455" s="437"/>
      <c r="AO455" s="437"/>
      <c r="AP455" s="437"/>
      <c r="AQ455" s="437"/>
      <c r="AR455" s="437"/>
      <c r="AS455" s="437"/>
      <c r="AT455" s="437"/>
      <c r="AU455" s="437"/>
      <c r="AV455" s="437"/>
    </row>
    <row r="456" spans="27:48" x14ac:dyDescent="0.25">
      <c r="AA456" s="437"/>
      <c r="AB456" s="437"/>
      <c r="AC456" s="437"/>
      <c r="AD456" s="437"/>
      <c r="AE456" s="437"/>
      <c r="AF456" s="437"/>
      <c r="AG456" s="437"/>
      <c r="AH456" s="437"/>
      <c r="AI456" s="437"/>
      <c r="AJ456" s="437"/>
      <c r="AK456" s="437"/>
      <c r="AL456" s="437"/>
      <c r="AM456" s="437"/>
      <c r="AN456" s="437"/>
      <c r="AO456" s="437"/>
      <c r="AP456" s="437"/>
      <c r="AQ456" s="437"/>
      <c r="AR456" s="437"/>
      <c r="AS456" s="437"/>
      <c r="AT456" s="437"/>
      <c r="AU456" s="437"/>
      <c r="AV456" s="437"/>
    </row>
    <row r="457" spans="27:48" x14ac:dyDescent="0.25">
      <c r="AA457" s="437"/>
      <c r="AB457" s="437"/>
      <c r="AC457" s="437"/>
      <c r="AD457" s="437"/>
      <c r="AE457" s="437"/>
      <c r="AF457" s="437"/>
      <c r="AG457" s="437"/>
      <c r="AH457" s="437"/>
      <c r="AI457" s="437"/>
      <c r="AJ457" s="437"/>
      <c r="AK457" s="437"/>
      <c r="AL457" s="437"/>
      <c r="AM457" s="437"/>
      <c r="AN457" s="437"/>
      <c r="AO457" s="437"/>
      <c r="AP457" s="437"/>
      <c r="AQ457" s="437"/>
      <c r="AR457" s="437"/>
      <c r="AS457" s="437"/>
      <c r="AT457" s="437"/>
      <c r="AU457" s="437"/>
      <c r="AV457" s="437"/>
    </row>
    <row r="458" spans="27:48" x14ac:dyDescent="0.25">
      <c r="AA458" s="437"/>
      <c r="AB458" s="437"/>
      <c r="AC458" s="437"/>
      <c r="AD458" s="437"/>
      <c r="AE458" s="437"/>
      <c r="AF458" s="437"/>
      <c r="AG458" s="437"/>
      <c r="AH458" s="437"/>
      <c r="AI458" s="437"/>
      <c r="AJ458" s="437"/>
      <c r="AK458" s="437"/>
      <c r="AL458" s="437"/>
      <c r="AM458" s="437"/>
      <c r="AN458" s="437"/>
      <c r="AO458" s="437"/>
      <c r="AP458" s="437"/>
      <c r="AQ458" s="437"/>
      <c r="AR458" s="437"/>
      <c r="AS458" s="437"/>
      <c r="AT458" s="437"/>
      <c r="AU458" s="437"/>
      <c r="AV458" s="437"/>
    </row>
    <row r="459" spans="27:48" x14ac:dyDescent="0.25">
      <c r="AA459" s="437"/>
      <c r="AB459" s="437"/>
      <c r="AC459" s="437"/>
      <c r="AD459" s="437"/>
      <c r="AE459" s="437"/>
      <c r="AF459" s="437"/>
      <c r="AG459" s="437"/>
      <c r="AH459" s="437"/>
      <c r="AI459" s="437"/>
      <c r="AJ459" s="437"/>
      <c r="AK459" s="437"/>
      <c r="AL459" s="437"/>
      <c r="AM459" s="437"/>
      <c r="AN459" s="437"/>
      <c r="AO459" s="437"/>
      <c r="AP459" s="437"/>
      <c r="AQ459" s="437"/>
      <c r="AR459" s="437"/>
      <c r="AS459" s="437"/>
      <c r="AT459" s="437"/>
      <c r="AU459" s="437"/>
      <c r="AV459" s="437"/>
    </row>
    <row r="460" spans="27:48" x14ac:dyDescent="0.25">
      <c r="AA460" s="437"/>
      <c r="AB460" s="437"/>
      <c r="AC460" s="437"/>
      <c r="AD460" s="437"/>
      <c r="AE460" s="437"/>
      <c r="AF460" s="437"/>
      <c r="AG460" s="437"/>
      <c r="AH460" s="437"/>
      <c r="AI460" s="437"/>
      <c r="AJ460" s="437"/>
      <c r="AK460" s="437"/>
      <c r="AL460" s="437"/>
      <c r="AM460" s="437"/>
      <c r="AN460" s="437"/>
      <c r="AO460" s="437"/>
      <c r="AP460" s="437"/>
      <c r="AQ460" s="437"/>
      <c r="AR460" s="437"/>
      <c r="AS460" s="437"/>
      <c r="AT460" s="437"/>
      <c r="AU460" s="437"/>
      <c r="AV460" s="437"/>
    </row>
    <row r="461" spans="27:48" x14ac:dyDescent="0.25">
      <c r="AA461" s="437"/>
      <c r="AB461" s="437"/>
      <c r="AC461" s="437"/>
      <c r="AD461" s="437"/>
      <c r="AE461" s="437"/>
      <c r="AF461" s="437"/>
      <c r="AG461" s="437"/>
      <c r="AH461" s="437"/>
      <c r="AI461" s="437"/>
      <c r="AJ461" s="437"/>
      <c r="AK461" s="437"/>
      <c r="AL461" s="437"/>
      <c r="AM461" s="437"/>
      <c r="AN461" s="437"/>
      <c r="AO461" s="437"/>
      <c r="AP461" s="437"/>
      <c r="AQ461" s="437"/>
      <c r="AR461" s="437"/>
      <c r="AS461" s="437"/>
      <c r="AT461" s="437"/>
      <c r="AU461" s="437"/>
      <c r="AV461" s="437"/>
    </row>
    <row r="462" spans="27:48" x14ac:dyDescent="0.25">
      <c r="AA462" s="437"/>
      <c r="AB462" s="437"/>
      <c r="AC462" s="437"/>
      <c r="AD462" s="437"/>
      <c r="AE462" s="437"/>
      <c r="AF462" s="437"/>
      <c r="AG462" s="437"/>
      <c r="AH462" s="437"/>
      <c r="AI462" s="437"/>
      <c r="AJ462" s="437"/>
      <c r="AK462" s="437"/>
      <c r="AL462" s="437"/>
      <c r="AM462" s="437"/>
      <c r="AN462" s="437"/>
      <c r="AO462" s="437"/>
      <c r="AP462" s="437"/>
      <c r="AQ462" s="437"/>
      <c r="AR462" s="437"/>
      <c r="AS462" s="437"/>
      <c r="AT462" s="437"/>
      <c r="AU462" s="437"/>
      <c r="AV462" s="437"/>
    </row>
    <row r="463" spans="27:48" x14ac:dyDescent="0.25">
      <c r="AA463" s="437"/>
      <c r="AB463" s="437"/>
      <c r="AC463" s="437"/>
      <c r="AD463" s="437"/>
      <c r="AE463" s="437"/>
      <c r="AF463" s="437"/>
      <c r="AG463" s="437"/>
      <c r="AH463" s="437"/>
      <c r="AI463" s="437"/>
      <c r="AJ463" s="437"/>
      <c r="AK463" s="437"/>
      <c r="AL463" s="437"/>
      <c r="AM463" s="437"/>
      <c r="AN463" s="437"/>
      <c r="AO463" s="437"/>
      <c r="AP463" s="437"/>
      <c r="AQ463" s="437"/>
      <c r="AR463" s="437"/>
      <c r="AS463" s="437"/>
      <c r="AT463" s="437"/>
      <c r="AU463" s="437"/>
      <c r="AV463" s="437"/>
    </row>
    <row r="464" spans="27:48" x14ac:dyDescent="0.25">
      <c r="AA464" s="437"/>
      <c r="AB464" s="437"/>
      <c r="AC464" s="437"/>
      <c r="AD464" s="437"/>
      <c r="AE464" s="437"/>
      <c r="AF464" s="437"/>
      <c r="AG464" s="437"/>
      <c r="AH464" s="437"/>
      <c r="AI464" s="437"/>
      <c r="AJ464" s="437"/>
      <c r="AK464" s="437"/>
      <c r="AL464" s="437"/>
      <c r="AM464" s="437"/>
      <c r="AN464" s="437"/>
      <c r="AO464" s="437"/>
      <c r="AP464" s="437"/>
      <c r="AQ464" s="437"/>
      <c r="AR464" s="437"/>
      <c r="AS464" s="437"/>
      <c r="AT464" s="437"/>
      <c r="AU464" s="437"/>
      <c r="AV464" s="437"/>
    </row>
    <row r="465" spans="27:48" x14ac:dyDescent="0.25">
      <c r="AA465" s="437"/>
      <c r="AB465" s="437"/>
      <c r="AC465" s="437"/>
      <c r="AD465" s="437"/>
      <c r="AE465" s="437"/>
      <c r="AF465" s="437"/>
      <c r="AG465" s="437"/>
      <c r="AH465" s="437"/>
      <c r="AI465" s="437"/>
      <c r="AJ465" s="437"/>
      <c r="AK465" s="437"/>
      <c r="AL465" s="437"/>
      <c r="AM465" s="437"/>
      <c r="AN465" s="437"/>
      <c r="AO465" s="437"/>
      <c r="AP465" s="437"/>
      <c r="AQ465" s="437"/>
      <c r="AR465" s="437"/>
      <c r="AS465" s="437"/>
      <c r="AT465" s="437"/>
      <c r="AU465" s="437"/>
      <c r="AV465" s="437"/>
    </row>
    <row r="466" spans="27:48" x14ac:dyDescent="0.25">
      <c r="AA466" s="437"/>
      <c r="AB466" s="437"/>
      <c r="AC466" s="437"/>
      <c r="AD466" s="437"/>
      <c r="AE466" s="437"/>
      <c r="AF466" s="437"/>
      <c r="AG466" s="437"/>
      <c r="AH466" s="437"/>
      <c r="AI466" s="437"/>
      <c r="AJ466" s="437"/>
      <c r="AK466" s="437"/>
      <c r="AL466" s="437"/>
      <c r="AM466" s="437"/>
      <c r="AN466" s="437"/>
      <c r="AO466" s="437"/>
      <c r="AP466" s="437"/>
      <c r="AQ466" s="437"/>
      <c r="AR466" s="437"/>
      <c r="AS466" s="437"/>
      <c r="AT466" s="437"/>
      <c r="AU466" s="437"/>
      <c r="AV466" s="437"/>
    </row>
    <row r="467" spans="27:48" x14ac:dyDescent="0.25">
      <c r="AA467" s="437"/>
      <c r="AB467" s="437"/>
      <c r="AC467" s="437"/>
      <c r="AD467" s="437"/>
      <c r="AE467" s="437"/>
      <c r="AF467" s="437"/>
      <c r="AG467" s="437"/>
      <c r="AH467" s="437"/>
      <c r="AI467" s="437"/>
      <c r="AJ467" s="437"/>
      <c r="AK467" s="437"/>
      <c r="AL467" s="437"/>
      <c r="AM467" s="437"/>
      <c r="AN467" s="437"/>
      <c r="AO467" s="437"/>
      <c r="AP467" s="437"/>
      <c r="AQ467" s="437"/>
      <c r="AR467" s="437"/>
      <c r="AS467" s="437"/>
      <c r="AT467" s="437"/>
      <c r="AU467" s="437"/>
      <c r="AV467" s="437"/>
    </row>
    <row r="468" spans="27:48" x14ac:dyDescent="0.25">
      <c r="AA468" s="437"/>
      <c r="AB468" s="437"/>
      <c r="AC468" s="437"/>
      <c r="AD468" s="437"/>
      <c r="AE468" s="437"/>
      <c r="AF468" s="437"/>
      <c r="AG468" s="437"/>
      <c r="AH468" s="437"/>
      <c r="AI468" s="437"/>
      <c r="AJ468" s="437"/>
      <c r="AK468" s="437"/>
      <c r="AL468" s="437"/>
      <c r="AM468" s="437"/>
      <c r="AN468" s="437"/>
      <c r="AO468" s="437"/>
      <c r="AP468" s="437"/>
      <c r="AQ468" s="437"/>
      <c r="AR468" s="437"/>
      <c r="AS468" s="437"/>
      <c r="AT468" s="437"/>
      <c r="AU468" s="437"/>
      <c r="AV468" s="437"/>
    </row>
    <row r="469" spans="27:48" x14ac:dyDescent="0.25">
      <c r="AA469" s="437"/>
      <c r="AB469" s="437"/>
      <c r="AC469" s="437"/>
      <c r="AD469" s="437"/>
      <c r="AE469" s="437"/>
      <c r="AF469" s="437"/>
      <c r="AG469" s="437"/>
      <c r="AH469" s="437"/>
      <c r="AI469" s="437"/>
      <c r="AJ469" s="437"/>
      <c r="AK469" s="437"/>
      <c r="AL469" s="437"/>
      <c r="AM469" s="437"/>
      <c r="AN469" s="437"/>
      <c r="AO469" s="437"/>
      <c r="AP469" s="437"/>
      <c r="AQ469" s="437"/>
      <c r="AR469" s="437"/>
      <c r="AS469" s="437"/>
      <c r="AT469" s="437"/>
      <c r="AU469" s="437"/>
      <c r="AV469" s="437"/>
    </row>
    <row r="470" spans="27:48" x14ac:dyDescent="0.25">
      <c r="AA470" s="437"/>
      <c r="AB470" s="437"/>
      <c r="AC470" s="437"/>
      <c r="AD470" s="437"/>
      <c r="AE470" s="437"/>
      <c r="AF470" s="437"/>
      <c r="AG470" s="437"/>
      <c r="AH470" s="437"/>
      <c r="AI470" s="437"/>
      <c r="AJ470" s="437"/>
      <c r="AK470" s="437"/>
      <c r="AL470" s="437"/>
      <c r="AM470" s="437"/>
      <c r="AN470" s="437"/>
      <c r="AO470" s="437"/>
      <c r="AP470" s="437"/>
      <c r="AQ470" s="437"/>
      <c r="AR470" s="437"/>
      <c r="AS470" s="437"/>
      <c r="AT470" s="437"/>
      <c r="AU470" s="437"/>
      <c r="AV470" s="437"/>
    </row>
    <row r="471" spans="27:48" x14ac:dyDescent="0.25">
      <c r="AA471" s="437"/>
      <c r="AB471" s="437"/>
      <c r="AC471" s="437"/>
      <c r="AD471" s="437"/>
      <c r="AE471" s="437"/>
      <c r="AF471" s="437"/>
      <c r="AG471" s="437"/>
      <c r="AH471" s="437"/>
      <c r="AI471" s="437"/>
      <c r="AJ471" s="437"/>
      <c r="AK471" s="437"/>
      <c r="AL471" s="437"/>
      <c r="AM471" s="437"/>
      <c r="AN471" s="437"/>
      <c r="AO471" s="437"/>
      <c r="AP471" s="437"/>
      <c r="AQ471" s="437"/>
      <c r="AR471" s="437"/>
      <c r="AS471" s="437"/>
      <c r="AT471" s="437"/>
      <c r="AU471" s="437"/>
      <c r="AV471" s="437"/>
    </row>
    <row r="472" spans="27:48" x14ac:dyDescent="0.25">
      <c r="AA472" s="437"/>
      <c r="AB472" s="437"/>
      <c r="AC472" s="437"/>
      <c r="AD472" s="437"/>
      <c r="AE472" s="437"/>
      <c r="AF472" s="437"/>
      <c r="AG472" s="437"/>
      <c r="AH472" s="437"/>
      <c r="AI472" s="437"/>
      <c r="AJ472" s="437"/>
      <c r="AK472" s="437"/>
      <c r="AL472" s="437"/>
      <c r="AM472" s="437"/>
      <c r="AN472" s="437"/>
      <c r="AO472" s="437"/>
      <c r="AP472" s="437"/>
      <c r="AQ472" s="437"/>
      <c r="AR472" s="437"/>
      <c r="AS472" s="437"/>
      <c r="AT472" s="437"/>
      <c r="AU472" s="437"/>
      <c r="AV472" s="437"/>
    </row>
    <row r="473" spans="27:48" x14ac:dyDescent="0.25">
      <c r="AA473" s="437"/>
      <c r="AB473" s="437"/>
      <c r="AC473" s="437"/>
      <c r="AD473" s="437"/>
      <c r="AE473" s="437"/>
      <c r="AF473" s="437"/>
      <c r="AG473" s="437"/>
      <c r="AH473" s="437"/>
      <c r="AI473" s="437"/>
      <c r="AJ473" s="437"/>
      <c r="AK473" s="437"/>
      <c r="AL473" s="437"/>
      <c r="AM473" s="437"/>
      <c r="AN473" s="437"/>
      <c r="AO473" s="437"/>
      <c r="AP473" s="437"/>
      <c r="AQ473" s="437"/>
      <c r="AR473" s="437"/>
      <c r="AS473" s="437"/>
      <c r="AT473" s="437"/>
      <c r="AU473" s="437"/>
      <c r="AV473" s="437"/>
    </row>
    <row r="474" spans="27:48" x14ac:dyDescent="0.25">
      <c r="AA474" s="437"/>
      <c r="AB474" s="437"/>
      <c r="AC474" s="437"/>
      <c r="AD474" s="437"/>
      <c r="AE474" s="437"/>
      <c r="AF474" s="437"/>
      <c r="AG474" s="437"/>
      <c r="AH474" s="437"/>
      <c r="AI474" s="437"/>
      <c r="AJ474" s="437"/>
      <c r="AK474" s="437"/>
      <c r="AL474" s="437"/>
      <c r="AM474" s="437"/>
      <c r="AN474" s="437"/>
      <c r="AO474" s="437"/>
      <c r="AP474" s="437"/>
      <c r="AQ474" s="437"/>
      <c r="AR474" s="437"/>
      <c r="AS474" s="437"/>
      <c r="AT474" s="437"/>
      <c r="AU474" s="437"/>
      <c r="AV474" s="437"/>
    </row>
    <row r="475" spans="27:48" x14ac:dyDescent="0.25">
      <c r="AA475" s="437"/>
      <c r="AB475" s="437"/>
      <c r="AC475" s="437"/>
      <c r="AD475" s="437"/>
      <c r="AE475" s="437"/>
      <c r="AF475" s="437"/>
      <c r="AG475" s="437"/>
      <c r="AH475" s="437"/>
      <c r="AI475" s="437"/>
      <c r="AJ475" s="437"/>
      <c r="AK475" s="437"/>
      <c r="AL475" s="437"/>
      <c r="AM475" s="437"/>
      <c r="AN475" s="437"/>
      <c r="AO475" s="437"/>
      <c r="AP475" s="437"/>
      <c r="AQ475" s="437"/>
      <c r="AR475" s="437"/>
      <c r="AS475" s="437"/>
      <c r="AT475" s="437"/>
      <c r="AU475" s="437"/>
      <c r="AV475" s="437"/>
    </row>
    <row r="476" spans="27:48" x14ac:dyDescent="0.25">
      <c r="AA476" s="437"/>
      <c r="AB476" s="437"/>
      <c r="AC476" s="437"/>
      <c r="AD476" s="437"/>
      <c r="AE476" s="437"/>
      <c r="AF476" s="437"/>
      <c r="AG476" s="437"/>
      <c r="AH476" s="437"/>
      <c r="AI476" s="437"/>
      <c r="AJ476" s="437"/>
      <c r="AK476" s="437"/>
      <c r="AL476" s="437"/>
      <c r="AM476" s="437"/>
      <c r="AN476" s="437"/>
      <c r="AO476" s="437"/>
      <c r="AP476" s="437"/>
      <c r="AQ476" s="437"/>
      <c r="AR476" s="437"/>
      <c r="AS476" s="437"/>
      <c r="AT476" s="437"/>
      <c r="AU476" s="437"/>
      <c r="AV476" s="437"/>
    </row>
    <row r="477" spans="27:48" x14ac:dyDescent="0.25">
      <c r="AA477" s="437"/>
      <c r="AB477" s="437"/>
      <c r="AC477" s="437"/>
      <c r="AD477" s="437"/>
      <c r="AE477" s="437"/>
      <c r="AF477" s="437"/>
      <c r="AG477" s="437"/>
      <c r="AH477" s="437"/>
      <c r="AI477" s="437"/>
      <c r="AJ477" s="437"/>
      <c r="AK477" s="437"/>
      <c r="AL477" s="437"/>
      <c r="AM477" s="437"/>
      <c r="AN477" s="437"/>
      <c r="AO477" s="437"/>
      <c r="AP477" s="437"/>
      <c r="AQ477" s="437"/>
      <c r="AR477" s="437"/>
      <c r="AS477" s="437"/>
      <c r="AT477" s="437"/>
      <c r="AU477" s="437"/>
      <c r="AV477" s="437"/>
    </row>
    <row r="478" spans="27:48" x14ac:dyDescent="0.25">
      <c r="AA478" s="437"/>
      <c r="AB478" s="437"/>
      <c r="AC478" s="437"/>
      <c r="AD478" s="437"/>
      <c r="AE478" s="437"/>
      <c r="AF478" s="437"/>
      <c r="AG478" s="437"/>
      <c r="AH478" s="437"/>
      <c r="AI478" s="437"/>
      <c r="AJ478" s="437"/>
      <c r="AK478" s="437"/>
      <c r="AL478" s="437"/>
      <c r="AM478" s="437"/>
      <c r="AN478" s="437"/>
      <c r="AO478" s="437"/>
      <c r="AP478" s="437"/>
      <c r="AQ478" s="437"/>
      <c r="AR478" s="437"/>
      <c r="AS478" s="437"/>
      <c r="AT478" s="437"/>
      <c r="AU478" s="437"/>
      <c r="AV478" s="437"/>
    </row>
    <row r="479" spans="27:48" x14ac:dyDescent="0.25">
      <c r="AA479" s="437"/>
      <c r="AB479" s="437"/>
      <c r="AC479" s="437"/>
      <c r="AD479" s="437"/>
      <c r="AE479" s="437"/>
      <c r="AF479" s="437"/>
      <c r="AG479" s="437"/>
      <c r="AH479" s="437"/>
      <c r="AI479" s="437"/>
      <c r="AJ479" s="437"/>
      <c r="AK479" s="437"/>
      <c r="AL479" s="437"/>
      <c r="AM479" s="437"/>
      <c r="AN479" s="437"/>
      <c r="AO479" s="437"/>
      <c r="AP479" s="437"/>
      <c r="AQ479" s="437"/>
      <c r="AR479" s="437"/>
      <c r="AS479" s="437"/>
      <c r="AT479" s="437"/>
      <c r="AU479" s="437"/>
      <c r="AV479" s="437"/>
    </row>
    <row r="480" spans="27:48" x14ac:dyDescent="0.25">
      <c r="AA480" s="437"/>
      <c r="AB480" s="437"/>
      <c r="AC480" s="437"/>
      <c r="AD480" s="437"/>
      <c r="AE480" s="437"/>
      <c r="AF480" s="437"/>
      <c r="AG480" s="437"/>
      <c r="AH480" s="437"/>
      <c r="AI480" s="437"/>
      <c r="AJ480" s="437"/>
      <c r="AK480" s="437"/>
      <c r="AL480" s="437"/>
      <c r="AM480" s="437"/>
      <c r="AN480" s="437"/>
      <c r="AO480" s="437"/>
      <c r="AP480" s="437"/>
      <c r="AQ480" s="437"/>
      <c r="AR480" s="437"/>
      <c r="AS480" s="437"/>
      <c r="AT480" s="437"/>
      <c r="AU480" s="437"/>
      <c r="AV480" s="437"/>
    </row>
    <row r="481" spans="27:48" x14ac:dyDescent="0.25">
      <c r="AA481" s="437"/>
      <c r="AB481" s="437"/>
      <c r="AC481" s="437"/>
      <c r="AD481" s="437"/>
      <c r="AE481" s="437"/>
      <c r="AF481" s="437"/>
      <c r="AG481" s="437"/>
      <c r="AH481" s="437"/>
      <c r="AI481" s="437"/>
      <c r="AJ481" s="437"/>
      <c r="AK481" s="437"/>
      <c r="AL481" s="437"/>
      <c r="AM481" s="437"/>
      <c r="AN481" s="437"/>
      <c r="AO481" s="437"/>
      <c r="AP481" s="437"/>
      <c r="AQ481" s="437"/>
      <c r="AR481" s="437"/>
      <c r="AS481" s="437"/>
      <c r="AT481" s="437"/>
      <c r="AU481" s="437"/>
      <c r="AV481" s="437"/>
    </row>
    <row r="482" spans="27:48" x14ac:dyDescent="0.25">
      <c r="AA482" s="437"/>
      <c r="AB482" s="437"/>
      <c r="AC482" s="437"/>
      <c r="AD482" s="437"/>
      <c r="AE482" s="437"/>
      <c r="AF482" s="437"/>
      <c r="AG482" s="437"/>
      <c r="AH482" s="437"/>
      <c r="AI482" s="437"/>
      <c r="AJ482" s="437"/>
      <c r="AK482" s="437"/>
      <c r="AL482" s="437"/>
      <c r="AM482" s="437"/>
      <c r="AN482" s="437"/>
      <c r="AO482" s="437"/>
      <c r="AP482" s="437"/>
      <c r="AQ482" s="437"/>
      <c r="AR482" s="437"/>
      <c r="AS482" s="437"/>
      <c r="AT482" s="437"/>
      <c r="AU482" s="437"/>
      <c r="AV482" s="437"/>
    </row>
    <row r="483" spans="27:48" x14ac:dyDescent="0.25">
      <c r="AA483" s="437"/>
      <c r="AB483" s="437"/>
      <c r="AC483" s="437"/>
      <c r="AD483" s="437"/>
      <c r="AE483" s="437"/>
      <c r="AF483" s="437"/>
      <c r="AG483" s="437"/>
      <c r="AH483" s="437"/>
      <c r="AI483" s="437"/>
      <c r="AJ483" s="437"/>
      <c r="AK483" s="437"/>
      <c r="AL483" s="437"/>
      <c r="AM483" s="437"/>
      <c r="AN483" s="437"/>
      <c r="AO483" s="437"/>
      <c r="AP483" s="437"/>
      <c r="AQ483" s="437"/>
      <c r="AR483" s="437"/>
      <c r="AS483" s="437"/>
      <c r="AT483" s="437"/>
      <c r="AU483" s="437"/>
      <c r="AV483" s="437"/>
    </row>
    <row r="484" spans="27:48" x14ac:dyDescent="0.25">
      <c r="AA484" s="437"/>
      <c r="AB484" s="437"/>
      <c r="AC484" s="437"/>
      <c r="AD484" s="437"/>
      <c r="AE484" s="437"/>
      <c r="AF484" s="437"/>
      <c r="AG484" s="437"/>
      <c r="AH484" s="437"/>
      <c r="AI484" s="437"/>
      <c r="AJ484" s="437"/>
      <c r="AK484" s="437"/>
      <c r="AL484" s="437"/>
      <c r="AM484" s="437"/>
      <c r="AN484" s="437"/>
      <c r="AO484" s="437"/>
      <c r="AP484" s="437"/>
      <c r="AQ484" s="437"/>
      <c r="AR484" s="437"/>
      <c r="AS484" s="437"/>
      <c r="AT484" s="437"/>
      <c r="AU484" s="437"/>
      <c r="AV484" s="437"/>
    </row>
    <row r="485" spans="27:48" x14ac:dyDescent="0.25">
      <c r="AA485" s="437"/>
      <c r="AB485" s="437"/>
      <c r="AC485" s="437"/>
      <c r="AD485" s="437"/>
      <c r="AE485" s="437"/>
      <c r="AF485" s="437"/>
      <c r="AG485" s="437"/>
      <c r="AH485" s="437"/>
      <c r="AI485" s="437"/>
      <c r="AJ485" s="437"/>
      <c r="AK485" s="437"/>
      <c r="AL485" s="437"/>
      <c r="AM485" s="437"/>
      <c r="AN485" s="437"/>
      <c r="AO485" s="437"/>
      <c r="AP485" s="437"/>
      <c r="AQ485" s="437"/>
      <c r="AR485" s="437"/>
      <c r="AS485" s="437"/>
      <c r="AT485" s="437"/>
      <c r="AU485" s="437"/>
      <c r="AV485" s="437"/>
    </row>
    <row r="486" spans="27:48" x14ac:dyDescent="0.25">
      <c r="AA486" s="437"/>
      <c r="AB486" s="437"/>
      <c r="AC486" s="437"/>
      <c r="AD486" s="437"/>
      <c r="AE486" s="437"/>
      <c r="AF486" s="437"/>
      <c r="AG486" s="437"/>
      <c r="AH486" s="437"/>
      <c r="AI486" s="437"/>
      <c r="AJ486" s="437"/>
      <c r="AK486" s="437"/>
      <c r="AL486" s="437"/>
      <c r="AM486" s="437"/>
      <c r="AN486" s="437"/>
      <c r="AO486" s="437"/>
      <c r="AP486" s="437"/>
      <c r="AQ486" s="437"/>
      <c r="AR486" s="437"/>
      <c r="AS486" s="437"/>
      <c r="AT486" s="437"/>
      <c r="AU486" s="437"/>
      <c r="AV486" s="437"/>
    </row>
    <row r="487" spans="27:48" x14ac:dyDescent="0.25">
      <c r="AA487" s="437"/>
      <c r="AB487" s="437"/>
      <c r="AC487" s="437"/>
      <c r="AD487" s="437"/>
      <c r="AE487" s="437"/>
      <c r="AF487" s="437"/>
      <c r="AG487" s="437"/>
      <c r="AH487" s="437"/>
      <c r="AI487" s="437"/>
      <c r="AJ487" s="437"/>
      <c r="AK487" s="437"/>
      <c r="AL487" s="437"/>
      <c r="AM487" s="437"/>
      <c r="AN487" s="437"/>
      <c r="AO487" s="437"/>
      <c r="AP487" s="437"/>
      <c r="AQ487" s="437"/>
      <c r="AR487" s="437"/>
      <c r="AS487" s="437"/>
      <c r="AT487" s="437"/>
      <c r="AU487" s="437"/>
      <c r="AV487" s="437"/>
    </row>
    <row r="488" spans="27:48" x14ac:dyDescent="0.25">
      <c r="AA488" s="437"/>
      <c r="AB488" s="437"/>
      <c r="AC488" s="437"/>
      <c r="AD488" s="437"/>
      <c r="AE488" s="437"/>
      <c r="AF488" s="437"/>
      <c r="AG488" s="437"/>
      <c r="AH488" s="437"/>
      <c r="AI488" s="437"/>
      <c r="AJ488" s="437"/>
      <c r="AK488" s="437"/>
      <c r="AL488" s="437"/>
      <c r="AM488" s="437"/>
      <c r="AN488" s="437"/>
      <c r="AO488" s="437"/>
      <c r="AP488" s="437"/>
      <c r="AQ488" s="437"/>
      <c r="AR488" s="437"/>
      <c r="AS488" s="437"/>
      <c r="AT488" s="437"/>
      <c r="AU488" s="437"/>
      <c r="AV488" s="437"/>
    </row>
    <row r="489" spans="27:48" x14ac:dyDescent="0.25">
      <c r="AA489" s="437"/>
      <c r="AB489" s="437"/>
      <c r="AC489" s="437"/>
      <c r="AD489" s="437"/>
      <c r="AE489" s="437"/>
      <c r="AF489" s="437"/>
      <c r="AG489" s="437"/>
      <c r="AH489" s="437"/>
      <c r="AI489" s="437"/>
      <c r="AJ489" s="437"/>
      <c r="AK489" s="437"/>
      <c r="AL489" s="437"/>
      <c r="AM489" s="437"/>
      <c r="AN489" s="437"/>
      <c r="AO489" s="437"/>
      <c r="AP489" s="437"/>
      <c r="AQ489" s="437"/>
      <c r="AR489" s="437"/>
      <c r="AS489" s="437"/>
      <c r="AT489" s="437"/>
      <c r="AU489" s="437"/>
      <c r="AV489" s="437"/>
    </row>
    <row r="490" spans="27:48" x14ac:dyDescent="0.25">
      <c r="AA490" s="437"/>
      <c r="AB490" s="437"/>
      <c r="AC490" s="437"/>
      <c r="AD490" s="437"/>
      <c r="AE490" s="437"/>
      <c r="AF490" s="437"/>
      <c r="AG490" s="437"/>
      <c r="AH490" s="437"/>
      <c r="AI490" s="437"/>
      <c r="AJ490" s="437"/>
      <c r="AK490" s="437"/>
      <c r="AL490" s="437"/>
      <c r="AM490" s="437"/>
      <c r="AN490" s="437"/>
      <c r="AO490" s="437"/>
      <c r="AP490" s="437"/>
      <c r="AQ490" s="437"/>
      <c r="AR490" s="437"/>
      <c r="AS490" s="437"/>
      <c r="AT490" s="437"/>
      <c r="AU490" s="437"/>
      <c r="AV490" s="437"/>
    </row>
    <row r="491" spans="27:48" x14ac:dyDescent="0.25">
      <c r="AA491" s="437"/>
      <c r="AB491" s="437"/>
      <c r="AC491" s="437"/>
      <c r="AD491" s="437"/>
      <c r="AE491" s="437"/>
      <c r="AF491" s="437"/>
      <c r="AG491" s="437"/>
      <c r="AH491" s="437"/>
      <c r="AI491" s="437"/>
      <c r="AJ491" s="437"/>
      <c r="AK491" s="437"/>
      <c r="AL491" s="437"/>
      <c r="AM491" s="437"/>
      <c r="AN491" s="437"/>
      <c r="AO491" s="437"/>
      <c r="AP491" s="437"/>
      <c r="AQ491" s="437"/>
      <c r="AR491" s="437"/>
      <c r="AS491" s="437"/>
      <c r="AT491" s="437"/>
      <c r="AU491" s="437"/>
      <c r="AV491" s="437"/>
    </row>
    <row r="492" spans="27:48" x14ac:dyDescent="0.25">
      <c r="AA492" s="437"/>
      <c r="AB492" s="437"/>
      <c r="AC492" s="437"/>
      <c r="AD492" s="437"/>
      <c r="AE492" s="437"/>
      <c r="AF492" s="437"/>
      <c r="AG492" s="437"/>
      <c r="AH492" s="437"/>
      <c r="AI492" s="437"/>
      <c r="AJ492" s="437"/>
      <c r="AK492" s="437"/>
      <c r="AL492" s="437"/>
      <c r="AM492" s="437"/>
      <c r="AN492" s="437"/>
      <c r="AO492" s="437"/>
      <c r="AP492" s="437"/>
      <c r="AQ492" s="437"/>
      <c r="AR492" s="437"/>
      <c r="AS492" s="437"/>
      <c r="AT492" s="437"/>
      <c r="AU492" s="437"/>
      <c r="AV492" s="437"/>
    </row>
    <row r="493" spans="27:48" x14ac:dyDescent="0.25">
      <c r="AA493" s="437"/>
      <c r="AB493" s="437"/>
      <c r="AC493" s="437"/>
      <c r="AD493" s="437"/>
      <c r="AE493" s="437"/>
      <c r="AF493" s="437"/>
      <c r="AG493" s="437"/>
      <c r="AH493" s="437"/>
      <c r="AI493" s="437"/>
      <c r="AJ493" s="437"/>
      <c r="AK493" s="437"/>
      <c r="AL493" s="437"/>
      <c r="AM493" s="437"/>
      <c r="AN493" s="437"/>
      <c r="AO493" s="437"/>
      <c r="AP493" s="437"/>
      <c r="AQ493" s="437"/>
      <c r="AR493" s="437"/>
      <c r="AS493" s="437"/>
      <c r="AT493" s="437"/>
      <c r="AU493" s="437"/>
      <c r="AV493" s="437"/>
    </row>
    <row r="494" spans="27:48" x14ac:dyDescent="0.25">
      <c r="AA494" s="437"/>
      <c r="AB494" s="437"/>
      <c r="AC494" s="437"/>
      <c r="AD494" s="437"/>
      <c r="AE494" s="437"/>
      <c r="AF494" s="437"/>
      <c r="AG494" s="437"/>
      <c r="AH494" s="437"/>
      <c r="AI494" s="437"/>
      <c r="AJ494" s="437"/>
      <c r="AK494" s="437"/>
      <c r="AL494" s="437"/>
      <c r="AM494" s="437"/>
      <c r="AN494" s="437"/>
      <c r="AO494" s="437"/>
      <c r="AP494" s="437"/>
      <c r="AQ494" s="437"/>
      <c r="AR494" s="437"/>
      <c r="AS494" s="437"/>
      <c r="AT494" s="437"/>
      <c r="AU494" s="437"/>
      <c r="AV494" s="437"/>
    </row>
    <row r="495" spans="27:48" x14ac:dyDescent="0.25">
      <c r="AA495" s="437"/>
      <c r="AB495" s="437"/>
      <c r="AC495" s="437"/>
      <c r="AD495" s="437"/>
      <c r="AE495" s="437"/>
      <c r="AF495" s="437"/>
      <c r="AG495" s="437"/>
      <c r="AH495" s="437"/>
      <c r="AI495" s="437"/>
      <c r="AJ495" s="437"/>
      <c r="AK495" s="437"/>
      <c r="AL495" s="437"/>
      <c r="AM495" s="437"/>
      <c r="AN495" s="437"/>
      <c r="AO495" s="437"/>
      <c r="AP495" s="437"/>
      <c r="AQ495" s="437"/>
      <c r="AR495" s="437"/>
      <c r="AS495" s="437"/>
      <c r="AT495" s="437"/>
      <c r="AU495" s="437"/>
      <c r="AV495" s="437"/>
    </row>
    <row r="496" spans="27:48" x14ac:dyDescent="0.25">
      <c r="AA496" s="437"/>
      <c r="AB496" s="437"/>
      <c r="AC496" s="437"/>
      <c r="AD496" s="437"/>
      <c r="AE496" s="437"/>
      <c r="AF496" s="437"/>
      <c r="AG496" s="437"/>
      <c r="AH496" s="437"/>
      <c r="AI496" s="437"/>
      <c r="AJ496" s="437"/>
      <c r="AK496" s="437"/>
      <c r="AL496" s="437"/>
      <c r="AM496" s="437"/>
      <c r="AN496" s="437"/>
      <c r="AO496" s="437"/>
      <c r="AP496" s="437"/>
      <c r="AQ496" s="437"/>
      <c r="AR496" s="437"/>
      <c r="AS496" s="437"/>
      <c r="AT496" s="437"/>
      <c r="AU496" s="437"/>
      <c r="AV496" s="437"/>
    </row>
    <row r="497" spans="27:48" x14ac:dyDescent="0.25">
      <c r="AA497" s="437"/>
      <c r="AB497" s="437"/>
      <c r="AC497" s="437"/>
      <c r="AD497" s="437"/>
      <c r="AE497" s="437"/>
      <c r="AF497" s="437"/>
      <c r="AG497" s="437"/>
      <c r="AH497" s="437"/>
      <c r="AI497" s="437"/>
      <c r="AJ497" s="437"/>
      <c r="AK497" s="437"/>
      <c r="AL497" s="437"/>
      <c r="AM497" s="437"/>
      <c r="AN497" s="437"/>
      <c r="AO497" s="437"/>
      <c r="AP497" s="437"/>
      <c r="AQ497" s="437"/>
      <c r="AR497" s="437"/>
      <c r="AS497" s="437"/>
      <c r="AT497" s="437"/>
      <c r="AU497" s="437"/>
      <c r="AV497" s="437"/>
    </row>
    <row r="498" spans="27:48" x14ac:dyDescent="0.25">
      <c r="AA498" s="437"/>
      <c r="AB498" s="437"/>
      <c r="AC498" s="437"/>
      <c r="AD498" s="437"/>
      <c r="AE498" s="437"/>
      <c r="AF498" s="437"/>
      <c r="AG498" s="437"/>
      <c r="AH498" s="437"/>
      <c r="AI498" s="437"/>
      <c r="AJ498" s="437"/>
      <c r="AK498" s="437"/>
      <c r="AL498" s="437"/>
      <c r="AM498" s="437"/>
      <c r="AN498" s="437"/>
      <c r="AO498" s="437"/>
      <c r="AP498" s="437"/>
      <c r="AQ498" s="437"/>
      <c r="AR498" s="437"/>
      <c r="AS498" s="437"/>
      <c r="AT498" s="437"/>
      <c r="AU498" s="437"/>
      <c r="AV498" s="437"/>
    </row>
    <row r="499" spans="27:48" x14ac:dyDescent="0.25">
      <c r="AA499" s="437"/>
      <c r="AB499" s="437"/>
      <c r="AC499" s="437"/>
      <c r="AD499" s="437"/>
      <c r="AE499" s="437"/>
      <c r="AF499" s="437"/>
      <c r="AG499" s="437"/>
      <c r="AH499" s="437"/>
      <c r="AI499" s="437"/>
      <c r="AJ499" s="437"/>
      <c r="AK499" s="437"/>
      <c r="AL499" s="437"/>
      <c r="AM499" s="437"/>
      <c r="AN499" s="437"/>
      <c r="AO499" s="437"/>
      <c r="AP499" s="437"/>
      <c r="AQ499" s="437"/>
      <c r="AR499" s="437"/>
      <c r="AS499" s="437"/>
      <c r="AT499" s="437"/>
      <c r="AU499" s="437"/>
      <c r="AV499" s="437"/>
    </row>
    <row r="500" spans="27:48" x14ac:dyDescent="0.25">
      <c r="AA500" s="437"/>
      <c r="AB500" s="437"/>
      <c r="AC500" s="437"/>
      <c r="AD500" s="437"/>
      <c r="AE500" s="437"/>
      <c r="AF500" s="437"/>
      <c r="AG500" s="437"/>
      <c r="AH500" s="437"/>
      <c r="AI500" s="437"/>
      <c r="AJ500" s="437"/>
      <c r="AK500" s="437"/>
      <c r="AL500" s="437"/>
      <c r="AM500" s="437"/>
      <c r="AN500" s="437"/>
      <c r="AO500" s="437"/>
      <c r="AP500" s="437"/>
      <c r="AQ500" s="437"/>
      <c r="AR500" s="437"/>
      <c r="AS500" s="437"/>
      <c r="AT500" s="437"/>
      <c r="AU500" s="437"/>
      <c r="AV500" s="437"/>
    </row>
  </sheetData>
  <sheetProtection algorithmName="SHA-512" hashValue="3zC3r3kaR/n0q+JMiFkkrxXiMiHgOSTGuHK5xV4ihJ1w3ermRbISXydM515pnHyPa+h7MQleYhmtaM6qtHDQ1A==" saltValue="UgCN3z1dsDI+5NnyatOgEA==" spinCount="100000" sheet="1" objects="1" scenarios="1" formatColumns="0" formatRows="0"/>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809D-00CD-4BED-9EB8-3F6B8C803030}">
  <sheetPr codeName="Sheet13">
    <tabColor theme="4" tint="0.39997558519241921"/>
  </sheetPr>
  <dimension ref="B1:AH54"/>
  <sheetViews>
    <sheetView showGridLines="0" zoomScale="205" zoomScaleNormal="205" workbookViewId="0"/>
  </sheetViews>
  <sheetFormatPr defaultRowHeight="15" x14ac:dyDescent="0.25"/>
  <cols>
    <col min="2" max="2" width="20.5703125" customWidth="1"/>
    <col min="3" max="3" width="19.140625" customWidth="1"/>
    <col min="4" max="4" width="6.28515625" customWidth="1"/>
    <col min="5" max="5" width="22.85546875" customWidth="1"/>
    <col min="6" max="6" width="15.140625" customWidth="1"/>
    <col min="7" max="7" width="7.42578125" customWidth="1"/>
    <col min="8" max="8" width="23.42578125" customWidth="1"/>
    <col min="9" max="9" width="7.85546875" customWidth="1"/>
    <col min="10" max="10" width="16" customWidth="1"/>
  </cols>
  <sheetData>
    <row r="1" spans="2:34" x14ac:dyDescent="0.25">
      <c r="AA1" s="437"/>
      <c r="AB1" s="437"/>
      <c r="AC1" s="437"/>
      <c r="AD1" s="437"/>
      <c r="AE1" s="437"/>
      <c r="AF1" s="437"/>
      <c r="AG1" s="437"/>
      <c r="AH1" s="437"/>
    </row>
    <row r="2" spans="2:34" ht="36.75" thickBot="1" x14ac:dyDescent="0.6">
      <c r="B2" s="313" t="s">
        <v>604</v>
      </c>
      <c r="C2" s="338"/>
      <c r="D2" s="338"/>
      <c r="E2" s="338"/>
      <c r="F2" s="338"/>
      <c r="G2" s="338"/>
      <c r="H2" s="338"/>
      <c r="I2" s="314"/>
      <c r="J2" s="315"/>
      <c r="AA2" s="437"/>
      <c r="AB2" s="437"/>
      <c r="AC2" s="437"/>
      <c r="AD2" s="437"/>
      <c r="AE2" s="437"/>
      <c r="AF2" s="437"/>
      <c r="AG2" s="437"/>
      <c r="AH2" s="437"/>
    </row>
    <row r="3" spans="2:34" x14ac:dyDescent="0.25">
      <c r="B3" s="82" t="s">
        <v>1</v>
      </c>
      <c r="C3" s="110" t="s">
        <v>0</v>
      </c>
      <c r="D3" s="79"/>
      <c r="E3" s="79"/>
      <c r="F3" s="79"/>
      <c r="G3" s="79"/>
      <c r="H3" s="79"/>
      <c r="I3" s="79"/>
      <c r="J3" s="18"/>
      <c r="AA3" s="437"/>
      <c r="AB3" s="437"/>
      <c r="AC3" s="437"/>
      <c r="AD3" s="437"/>
      <c r="AE3" s="437"/>
      <c r="AF3" s="437"/>
      <c r="AG3" s="437"/>
      <c r="AH3" s="437"/>
    </row>
    <row r="4" spans="2:34" ht="26.25" x14ac:dyDescent="0.4">
      <c r="B4" s="339" t="s">
        <v>606</v>
      </c>
      <c r="C4" s="340"/>
      <c r="D4" s="341"/>
      <c r="E4" s="342"/>
      <c r="F4" s="342"/>
      <c r="G4" s="342"/>
      <c r="H4" s="342"/>
      <c r="I4" s="343"/>
      <c r="J4" s="18"/>
      <c r="AA4" s="437"/>
      <c r="AB4" s="437"/>
      <c r="AC4" s="437"/>
      <c r="AD4" s="437"/>
      <c r="AE4" s="437"/>
      <c r="AF4" s="437"/>
      <c r="AG4" s="437"/>
      <c r="AH4" s="437"/>
    </row>
    <row r="5" spans="2:34" ht="45" x14ac:dyDescent="0.25">
      <c r="B5" s="286" t="s">
        <v>225</v>
      </c>
      <c r="C5" s="286" t="s">
        <v>609</v>
      </c>
      <c r="D5" s="286" t="s">
        <v>123</v>
      </c>
      <c r="E5" s="286" t="s">
        <v>608</v>
      </c>
      <c r="F5" s="286" t="s">
        <v>636</v>
      </c>
      <c r="G5" s="286" t="s">
        <v>123</v>
      </c>
      <c r="H5" s="286" t="s">
        <v>951</v>
      </c>
      <c r="I5" s="286" t="s">
        <v>123</v>
      </c>
      <c r="J5" s="18"/>
      <c r="AA5" s="437"/>
      <c r="AB5" s="437"/>
      <c r="AC5" s="437"/>
      <c r="AD5" s="437"/>
      <c r="AE5" s="437"/>
      <c r="AF5" s="437"/>
      <c r="AG5" s="437"/>
      <c r="AH5" s="437"/>
    </row>
    <row r="6" spans="2:34" ht="18.75" x14ac:dyDescent="0.3">
      <c r="B6" s="280" t="s">
        <v>117</v>
      </c>
      <c r="C6" s="12"/>
      <c r="D6" s="265" t="str">
        <f t="shared" ref="D6:D13" si="0">IF(OR(TRIM(C6)=AA6,TRIM(C6)=AB6),"R",IF(TRIM(C6)="","","F"))</f>
        <v/>
      </c>
      <c r="E6" s="12"/>
      <c r="F6" s="280" t="str">
        <f t="shared" ref="F6:F13" si="1">IF(G6="R",AD6,"")</f>
        <v/>
      </c>
      <c r="G6" s="265" t="str">
        <f t="shared" ref="G6:G13" si="2">IF(OR(TRIM(E6)=AD6,TRIM(E6)=AE6),"R",IF(TRIM(E6)="","","F"))</f>
        <v/>
      </c>
      <c r="H6" s="12"/>
      <c r="I6" s="265" t="str">
        <f t="shared" ref="I6:I13" si="3">IF(OR(TRIM(H6)=AG6,TRIM(H6)=AH6),"R",IF(TRIM(H6)="","","F"))</f>
        <v/>
      </c>
      <c r="J6" s="18"/>
      <c r="AA6" s="437" t="s">
        <v>610</v>
      </c>
      <c r="AB6" s="437" t="s">
        <v>635</v>
      </c>
      <c r="AC6" s="437"/>
      <c r="AD6" s="437" t="s">
        <v>622</v>
      </c>
      <c r="AE6" s="437" t="s">
        <v>623</v>
      </c>
      <c r="AF6" s="437"/>
      <c r="AG6" s="437" t="s">
        <v>627</v>
      </c>
      <c r="AH6" s="437" t="s">
        <v>628</v>
      </c>
    </row>
    <row r="7" spans="2:34" ht="18.75" x14ac:dyDescent="0.3">
      <c r="B7" s="280" t="s">
        <v>77</v>
      </c>
      <c r="C7" s="12"/>
      <c r="D7" s="265" t="str">
        <f t="shared" si="0"/>
        <v/>
      </c>
      <c r="E7" s="12"/>
      <c r="F7" s="280" t="str">
        <f t="shared" si="1"/>
        <v/>
      </c>
      <c r="G7" s="265" t="str">
        <f t="shared" si="2"/>
        <v/>
      </c>
      <c r="H7" s="12"/>
      <c r="I7" s="265" t="str">
        <f t="shared" si="3"/>
        <v/>
      </c>
      <c r="J7" s="18"/>
      <c r="AA7" s="437" t="s">
        <v>214</v>
      </c>
      <c r="AB7" s="437" t="s">
        <v>616</v>
      </c>
      <c r="AC7" s="437"/>
      <c r="AD7" s="437" t="s">
        <v>436</v>
      </c>
      <c r="AE7" s="437" t="s">
        <v>325</v>
      </c>
      <c r="AF7" s="437"/>
      <c r="AG7" s="437" t="s">
        <v>629</v>
      </c>
      <c r="AH7" s="437" t="s">
        <v>629</v>
      </c>
    </row>
    <row r="8" spans="2:34" ht="18.75" x14ac:dyDescent="0.3">
      <c r="B8" s="280" t="s">
        <v>120</v>
      </c>
      <c r="C8" s="12"/>
      <c r="D8" s="265" t="str">
        <f t="shared" si="0"/>
        <v/>
      </c>
      <c r="E8" s="12"/>
      <c r="F8" s="280" t="str">
        <f t="shared" si="1"/>
        <v/>
      </c>
      <c r="G8" s="265" t="str">
        <f t="shared" si="2"/>
        <v/>
      </c>
      <c r="H8" s="12"/>
      <c r="I8" s="265" t="str">
        <f t="shared" si="3"/>
        <v/>
      </c>
      <c r="J8" s="18"/>
      <c r="AA8" s="437" t="s">
        <v>611</v>
      </c>
      <c r="AB8" s="437" t="s">
        <v>611</v>
      </c>
      <c r="AC8" s="437"/>
      <c r="AD8" s="437" t="s">
        <v>159</v>
      </c>
      <c r="AE8" s="437" t="s">
        <v>293</v>
      </c>
      <c r="AF8" s="437"/>
      <c r="AG8" s="437" t="s">
        <v>165</v>
      </c>
      <c r="AH8" s="437" t="s">
        <v>165</v>
      </c>
    </row>
    <row r="9" spans="2:34" ht="18.75" x14ac:dyDescent="0.3">
      <c r="B9" s="280" t="s">
        <v>605</v>
      </c>
      <c r="C9" s="12"/>
      <c r="D9" s="265" t="str">
        <f t="shared" si="0"/>
        <v/>
      </c>
      <c r="E9" s="12"/>
      <c r="F9" s="280" t="str">
        <f t="shared" si="1"/>
        <v/>
      </c>
      <c r="G9" s="265" t="str">
        <f t="shared" si="2"/>
        <v/>
      </c>
      <c r="H9" s="12"/>
      <c r="I9" s="265" t="str">
        <f t="shared" si="3"/>
        <v/>
      </c>
      <c r="J9" s="18"/>
      <c r="AA9" s="437" t="s">
        <v>612</v>
      </c>
      <c r="AB9" s="437" t="s">
        <v>617</v>
      </c>
      <c r="AC9" s="437"/>
      <c r="AD9" s="437" t="s">
        <v>466</v>
      </c>
      <c r="AE9" s="437" t="s">
        <v>414</v>
      </c>
      <c r="AF9" s="437"/>
      <c r="AG9" s="437" t="s">
        <v>630</v>
      </c>
      <c r="AH9" s="437" t="s">
        <v>631</v>
      </c>
    </row>
    <row r="10" spans="2:34" ht="18.75" x14ac:dyDescent="0.3">
      <c r="B10" s="280" t="s">
        <v>50</v>
      </c>
      <c r="C10" s="12"/>
      <c r="D10" s="265" t="str">
        <f t="shared" si="0"/>
        <v/>
      </c>
      <c r="E10" s="12"/>
      <c r="F10" s="280" t="str">
        <f t="shared" si="1"/>
        <v/>
      </c>
      <c r="G10" s="265" t="str">
        <f t="shared" si="2"/>
        <v/>
      </c>
      <c r="H10" s="12"/>
      <c r="I10" s="265" t="str">
        <f t="shared" si="3"/>
        <v/>
      </c>
      <c r="J10" s="18"/>
      <c r="AA10" s="437" t="s">
        <v>613</v>
      </c>
      <c r="AB10" s="437" t="s">
        <v>613</v>
      </c>
      <c r="AC10" s="437"/>
      <c r="AD10" s="437" t="s">
        <v>156</v>
      </c>
      <c r="AE10" s="437" t="s">
        <v>318</v>
      </c>
      <c r="AF10" s="437"/>
      <c r="AG10" s="437" t="s">
        <v>162</v>
      </c>
      <c r="AH10" s="437" t="s">
        <v>162</v>
      </c>
    </row>
    <row r="11" spans="2:34" ht="18.75" x14ac:dyDescent="0.3">
      <c r="B11" s="280" t="s">
        <v>160</v>
      </c>
      <c r="C11" s="12"/>
      <c r="D11" s="265" t="str">
        <f t="shared" si="0"/>
        <v/>
      </c>
      <c r="E11" s="12"/>
      <c r="F11" s="280" t="str">
        <f t="shared" si="1"/>
        <v/>
      </c>
      <c r="G11" s="265" t="str">
        <f t="shared" si="2"/>
        <v/>
      </c>
      <c r="H11" s="12"/>
      <c r="I11" s="265" t="str">
        <f t="shared" si="3"/>
        <v/>
      </c>
      <c r="J11" s="18"/>
      <c r="AA11" s="437" t="s">
        <v>166</v>
      </c>
      <c r="AB11" s="437" t="s">
        <v>618</v>
      </c>
      <c r="AC11" s="437"/>
      <c r="AD11" s="437" t="s">
        <v>506</v>
      </c>
      <c r="AE11" s="437" t="s">
        <v>625</v>
      </c>
      <c r="AF11" s="437"/>
      <c r="AG11" s="437" t="s">
        <v>632</v>
      </c>
      <c r="AH11" s="437" t="s">
        <v>632</v>
      </c>
    </row>
    <row r="12" spans="2:34" ht="18.75" x14ac:dyDescent="0.3">
      <c r="B12" s="280" t="s">
        <v>607</v>
      </c>
      <c r="C12" s="12"/>
      <c r="D12" s="265" t="str">
        <f t="shared" si="0"/>
        <v/>
      </c>
      <c r="E12" s="12"/>
      <c r="F12" s="280" t="str">
        <f t="shared" si="1"/>
        <v/>
      </c>
      <c r="G12" s="265" t="str">
        <f t="shared" si="2"/>
        <v/>
      </c>
      <c r="H12" s="12"/>
      <c r="I12" s="265" t="str">
        <f t="shared" si="3"/>
        <v/>
      </c>
      <c r="J12" s="18"/>
      <c r="AA12" s="437" t="s">
        <v>614</v>
      </c>
      <c r="AB12" s="437" t="s">
        <v>615</v>
      </c>
      <c r="AC12" s="437"/>
      <c r="AD12" s="437" t="s">
        <v>50</v>
      </c>
      <c r="AE12" s="437" t="s">
        <v>626</v>
      </c>
      <c r="AF12" s="437"/>
      <c r="AG12" s="437" t="s">
        <v>613</v>
      </c>
      <c r="AH12" s="437" t="s">
        <v>613</v>
      </c>
    </row>
    <row r="13" spans="2:34" ht="18.75" x14ac:dyDescent="0.3">
      <c r="B13" s="280" t="s">
        <v>619</v>
      </c>
      <c r="C13" s="12"/>
      <c r="D13" s="265" t="str">
        <f t="shared" si="0"/>
        <v/>
      </c>
      <c r="E13" s="12"/>
      <c r="F13" s="280" t="str">
        <f t="shared" si="1"/>
        <v/>
      </c>
      <c r="G13" s="265" t="str">
        <f t="shared" si="2"/>
        <v/>
      </c>
      <c r="H13" s="12"/>
      <c r="I13" s="265" t="str">
        <f t="shared" si="3"/>
        <v/>
      </c>
      <c r="J13" s="18"/>
      <c r="AA13" s="437" t="s">
        <v>620</v>
      </c>
      <c r="AB13" s="437" t="s">
        <v>621</v>
      </c>
      <c r="AC13" s="437"/>
      <c r="AD13" s="437" t="s">
        <v>497</v>
      </c>
      <c r="AE13" s="437" t="s">
        <v>624</v>
      </c>
      <c r="AF13" s="437"/>
      <c r="AG13" s="437" t="s">
        <v>633</v>
      </c>
      <c r="AH13" s="437" t="s">
        <v>634</v>
      </c>
    </row>
    <row r="14" spans="2:34" x14ac:dyDescent="0.25">
      <c r="B14" s="78"/>
      <c r="C14" s="79"/>
      <c r="D14" s="79"/>
      <c r="E14" s="79"/>
      <c r="F14" s="79"/>
      <c r="G14" s="79"/>
      <c r="H14" s="79"/>
      <c r="I14" s="80"/>
      <c r="J14" s="18"/>
      <c r="AA14" s="437"/>
      <c r="AB14" s="437"/>
      <c r="AC14" s="437"/>
      <c r="AD14" s="437"/>
      <c r="AE14" s="437"/>
      <c r="AF14" s="437"/>
      <c r="AG14" s="437"/>
      <c r="AH14" s="437"/>
    </row>
    <row r="15" spans="2:34" x14ac:dyDescent="0.25">
      <c r="B15" s="78"/>
      <c r="C15" s="79"/>
      <c r="D15" s="79"/>
      <c r="E15" s="79"/>
      <c r="F15" s="79"/>
      <c r="G15" s="79"/>
      <c r="H15" s="79"/>
      <c r="I15" s="80"/>
      <c r="J15" s="18"/>
      <c r="AA15" s="437"/>
      <c r="AB15" s="437"/>
      <c r="AC15" s="437"/>
      <c r="AD15" s="437"/>
      <c r="AE15" s="437"/>
      <c r="AF15" s="437"/>
      <c r="AG15" s="437"/>
      <c r="AH15" s="437"/>
    </row>
    <row r="16" spans="2:34" ht="26.25" x14ac:dyDescent="0.4">
      <c r="B16" s="339" t="s">
        <v>1036</v>
      </c>
      <c r="C16" s="340"/>
      <c r="D16" s="341"/>
      <c r="E16" s="342"/>
      <c r="F16" s="342"/>
      <c r="G16" s="342"/>
      <c r="H16" s="342"/>
      <c r="I16" s="343"/>
      <c r="J16" s="18"/>
      <c r="AA16" s="437"/>
      <c r="AB16" s="437"/>
      <c r="AC16" s="437"/>
      <c r="AD16" s="437"/>
      <c r="AE16" s="437"/>
      <c r="AF16" s="437"/>
      <c r="AG16" s="437"/>
      <c r="AH16" s="437"/>
    </row>
    <row r="17" spans="2:34" x14ac:dyDescent="0.25">
      <c r="AA17" s="437"/>
      <c r="AB17" s="437"/>
      <c r="AC17" s="437"/>
      <c r="AD17" s="437"/>
      <c r="AE17" s="437"/>
      <c r="AF17" s="437"/>
      <c r="AG17" s="437"/>
      <c r="AH17" s="437"/>
    </row>
    <row r="18" spans="2:34" x14ac:dyDescent="0.25">
      <c r="B18" s="78" t="s">
        <v>1101</v>
      </c>
      <c r="C18" s="79"/>
      <c r="D18" s="79"/>
      <c r="E18" s="79"/>
      <c r="F18" s="79"/>
      <c r="G18" s="79"/>
      <c r="H18" s="79"/>
      <c r="I18" s="79"/>
      <c r="J18" s="18"/>
      <c r="AA18" s="437"/>
      <c r="AB18" s="437"/>
      <c r="AC18" s="437"/>
      <c r="AD18" s="437"/>
      <c r="AE18" s="437"/>
      <c r="AF18" s="437"/>
      <c r="AG18" s="437"/>
      <c r="AH18" s="437"/>
    </row>
    <row r="19" spans="2:34" x14ac:dyDescent="0.25">
      <c r="B19" s="78"/>
      <c r="C19" s="79"/>
      <c r="D19" s="79"/>
      <c r="E19" s="79"/>
      <c r="F19" s="79"/>
      <c r="G19" s="79"/>
      <c r="H19" s="79"/>
      <c r="I19" s="79"/>
      <c r="J19" s="18"/>
      <c r="AA19" s="437"/>
      <c r="AB19" s="437"/>
      <c r="AC19" s="437"/>
      <c r="AD19" s="437"/>
      <c r="AE19" s="437"/>
      <c r="AF19" s="437"/>
      <c r="AG19" s="437"/>
      <c r="AH19" s="437"/>
    </row>
    <row r="20" spans="2:34" x14ac:dyDescent="0.25">
      <c r="B20" s="78" t="s">
        <v>982</v>
      </c>
      <c r="C20" s="79"/>
      <c r="D20" s="79"/>
      <c r="E20" s="79"/>
      <c r="F20" s="79"/>
      <c r="G20" s="79"/>
      <c r="H20" s="79"/>
      <c r="I20" s="79"/>
      <c r="J20" s="18"/>
      <c r="AA20" s="437"/>
      <c r="AB20" s="437"/>
      <c r="AC20" s="437"/>
      <c r="AD20" s="437"/>
      <c r="AE20" s="437"/>
      <c r="AF20" s="437"/>
      <c r="AG20" s="437"/>
      <c r="AH20" s="437"/>
    </row>
    <row r="21" spans="2:34" x14ac:dyDescent="0.25">
      <c r="B21" s="227" t="s">
        <v>643</v>
      </c>
      <c r="C21" s="227" t="s">
        <v>642</v>
      </c>
      <c r="D21" s="227" t="s">
        <v>123</v>
      </c>
      <c r="J21" s="18"/>
      <c r="AA21" s="437"/>
      <c r="AB21" s="437"/>
      <c r="AC21" s="437"/>
      <c r="AD21" s="437"/>
      <c r="AE21" s="437"/>
      <c r="AF21" s="437"/>
      <c r="AG21" s="437"/>
      <c r="AH21" s="437"/>
    </row>
    <row r="22" spans="2:34" ht="18.75" x14ac:dyDescent="0.3">
      <c r="B22" s="228" t="s">
        <v>637</v>
      </c>
      <c r="C22" s="145"/>
      <c r="D22" s="263" t="str">
        <f>IF(C22=AB22,"R",IF(C22="","","F"))</f>
        <v/>
      </c>
      <c r="E22" t="str">
        <f>IF(C22="92g","lav lige et mellemrum  mellem værdi og enhed","")</f>
        <v/>
      </c>
      <c r="J22" s="18"/>
      <c r="AA22" s="437" t="s">
        <v>640</v>
      </c>
      <c r="AB22" s="437">
        <v>92</v>
      </c>
      <c r="AC22" s="437"/>
      <c r="AD22" s="437"/>
      <c r="AE22" s="437"/>
      <c r="AF22" s="437"/>
      <c r="AG22" s="437"/>
      <c r="AH22" s="437"/>
    </row>
    <row r="23" spans="2:34" ht="18.75" x14ac:dyDescent="0.3">
      <c r="B23" s="228" t="s">
        <v>638</v>
      </c>
      <c r="C23" s="162"/>
      <c r="D23" s="263" t="str">
        <f>IF(C23=AB23,"R",IF(C23="","","F"))</f>
        <v/>
      </c>
      <c r="E23" t="str">
        <f>IF(C23="50mL","lav lige et mellemrum  mellem værdi og enhed","")</f>
        <v/>
      </c>
      <c r="J23" s="18"/>
      <c r="AA23" s="437" t="s">
        <v>641</v>
      </c>
      <c r="AB23" s="437">
        <v>50</v>
      </c>
      <c r="AC23" s="437"/>
      <c r="AD23" s="437"/>
      <c r="AE23" s="437"/>
      <c r="AF23" s="437"/>
      <c r="AG23" s="437"/>
      <c r="AH23" s="437"/>
    </row>
    <row r="24" spans="2:34" ht="18.75" x14ac:dyDescent="0.3">
      <c r="B24" s="228" t="s">
        <v>639</v>
      </c>
      <c r="C24" s="159"/>
      <c r="D24" s="263" t="str">
        <f>IF(C24=AB24,"R",IF(C24="","","F"))</f>
        <v/>
      </c>
      <c r="E24" t="str">
        <f>IF(C24="1,84g/mL","lav lige et mellemrum  mellem værdi og enhed","")</f>
        <v/>
      </c>
      <c r="J24" s="18"/>
      <c r="AA24" s="437" t="s">
        <v>644</v>
      </c>
      <c r="AB24" s="437">
        <v>1.84</v>
      </c>
      <c r="AC24" s="437"/>
      <c r="AD24" s="437" t="str">
        <f>IFERROR(IF((ABS(AB24-C24)/AB24)&lt;0.01,"R",IF(TRIM(C24)="","","F")),"")</f>
        <v/>
      </c>
      <c r="AE24" s="437"/>
      <c r="AF24" s="437"/>
      <c r="AG24" s="437"/>
      <c r="AH24" s="437"/>
    </row>
    <row r="25" spans="2:34" x14ac:dyDescent="0.25">
      <c r="B25" s="17"/>
      <c r="J25" s="18"/>
      <c r="AA25" s="437"/>
      <c r="AB25" s="437"/>
      <c r="AC25" s="437"/>
      <c r="AD25" s="437"/>
      <c r="AE25" s="437"/>
      <c r="AF25" s="437"/>
      <c r="AG25" s="437"/>
      <c r="AH25" s="437"/>
    </row>
    <row r="26" spans="2:34" x14ac:dyDescent="0.25">
      <c r="B26" s="17" t="str" cm="1">
        <f t="array" ref="B26">IF(AND(D22:D24="R"),"","Du får først adgang til næste del af opgaven, når svaret rigtigt på første del")</f>
        <v>Du får først adgang til næste del af opgaven, når svaret rigtigt på første del</v>
      </c>
      <c r="J26" s="18"/>
      <c r="AA26" s="437"/>
      <c r="AB26" s="437"/>
      <c r="AC26" s="437"/>
      <c r="AD26" s="437"/>
      <c r="AE26" s="437"/>
      <c r="AF26" s="437"/>
      <c r="AG26" s="437"/>
      <c r="AH26" s="437"/>
    </row>
    <row r="27" spans="2:34" x14ac:dyDescent="0.25">
      <c r="B27" s="17" t="str">
        <f>IF(D24="R","Beregn massen af 1000 mL konc. svovlsyre-opløsning","")</f>
        <v/>
      </c>
      <c r="J27" s="18"/>
      <c r="AA27" s="437"/>
      <c r="AB27" s="437"/>
      <c r="AC27" s="437"/>
      <c r="AD27" s="437"/>
      <c r="AE27" s="437"/>
      <c r="AF27" s="437"/>
      <c r="AG27" s="437"/>
      <c r="AH27" s="437"/>
    </row>
    <row r="28" spans="2:34" x14ac:dyDescent="0.25">
      <c r="B28" s="227" t="s">
        <v>643</v>
      </c>
      <c r="C28" s="227" t="s">
        <v>642</v>
      </c>
      <c r="D28" s="227" t="s">
        <v>123</v>
      </c>
      <c r="J28" s="18"/>
      <c r="AA28" s="437"/>
      <c r="AB28" s="437"/>
      <c r="AC28" s="437"/>
      <c r="AD28" s="437"/>
      <c r="AE28" s="437"/>
      <c r="AF28" s="437"/>
      <c r="AG28" s="437"/>
      <c r="AH28" s="437"/>
    </row>
    <row r="29" spans="2:34" ht="18.75" x14ac:dyDescent="0.25">
      <c r="B29" s="228" t="s">
        <v>639</v>
      </c>
      <c r="C29" s="229" t="str">
        <f>IF(D24="R",AB24,"")</f>
        <v/>
      </c>
      <c r="J29" s="18"/>
      <c r="AA29" s="437"/>
      <c r="AB29" s="437"/>
      <c r="AC29" s="437"/>
      <c r="AD29" s="437"/>
      <c r="AE29" s="437"/>
      <c r="AF29" s="437"/>
      <c r="AG29" s="437"/>
      <c r="AH29" s="437"/>
    </row>
    <row r="30" spans="2:34" ht="18.75" x14ac:dyDescent="0.3">
      <c r="B30" s="228" t="s">
        <v>638</v>
      </c>
      <c r="C30" s="158"/>
      <c r="D30" s="263" t="str">
        <f>IF(C30=AB30,"R",IF(C30="","","F"))</f>
        <v/>
      </c>
      <c r="J30" s="18"/>
      <c r="AA30" s="437" t="s">
        <v>645</v>
      </c>
      <c r="AB30" s="437">
        <v>1000</v>
      </c>
      <c r="AC30" s="437"/>
      <c r="AD30" s="437"/>
      <c r="AE30" s="437"/>
      <c r="AF30" s="437"/>
      <c r="AG30" s="437"/>
      <c r="AH30" s="437"/>
    </row>
    <row r="31" spans="2:34" ht="18.75" x14ac:dyDescent="0.3">
      <c r="B31" s="228" t="s">
        <v>637</v>
      </c>
      <c r="C31" s="144"/>
      <c r="D31" s="263" t="str">
        <f>IF(C31=AB31,"R",IF(C31="","","F"))</f>
        <v/>
      </c>
      <c r="J31" s="18"/>
      <c r="AA31" s="437" t="s">
        <v>646</v>
      </c>
      <c r="AB31" s="437">
        <v>1840</v>
      </c>
      <c r="AC31" s="437"/>
      <c r="AD31" s="437" t="str">
        <f>IFERROR(IF((ABS(AB31-C31)/AB31)&lt;0.01,"R",IF(TRIM(C31)="","","F")),"")</f>
        <v/>
      </c>
      <c r="AE31" s="437"/>
      <c r="AF31" s="437"/>
      <c r="AG31" s="437"/>
      <c r="AH31" s="437"/>
    </row>
    <row r="32" spans="2:34" x14ac:dyDescent="0.25">
      <c r="AA32" s="437"/>
      <c r="AB32" s="437"/>
      <c r="AC32" s="437"/>
      <c r="AD32" s="437"/>
      <c r="AE32" s="437"/>
      <c r="AF32" s="437"/>
      <c r="AG32" s="437"/>
      <c r="AH32" s="437"/>
    </row>
    <row r="33" spans="2:34" x14ac:dyDescent="0.25">
      <c r="AA33" s="437"/>
      <c r="AB33" s="437"/>
      <c r="AC33" s="437"/>
      <c r="AD33" s="437"/>
      <c r="AE33" s="437"/>
      <c r="AF33" s="437"/>
      <c r="AG33" s="437"/>
      <c r="AH33" s="437"/>
    </row>
    <row r="34" spans="2:34" x14ac:dyDescent="0.25">
      <c r="B34" s="17" t="str">
        <f>IF(D31="R","Opløsningen indeholder 96% svovlsyre - resten er vand. Beregn massen af svovlsyre i de 1000 mL","")</f>
        <v/>
      </c>
      <c r="J34" s="18"/>
      <c r="AA34" s="437"/>
      <c r="AB34" s="437"/>
      <c r="AC34" s="437"/>
      <c r="AD34" s="437"/>
      <c r="AE34" s="437"/>
      <c r="AF34" s="437"/>
      <c r="AG34" s="437"/>
      <c r="AH34" s="437"/>
    </row>
    <row r="35" spans="2:34" x14ac:dyDescent="0.25">
      <c r="B35" s="286" t="s">
        <v>643</v>
      </c>
      <c r="C35" s="286" t="s">
        <v>642</v>
      </c>
      <c r="D35" s="286" t="s">
        <v>123</v>
      </c>
      <c r="J35" s="18"/>
      <c r="AA35" s="437"/>
      <c r="AB35" s="437"/>
      <c r="AC35" s="437"/>
      <c r="AD35" s="437"/>
      <c r="AE35" s="437"/>
      <c r="AF35" s="437"/>
      <c r="AG35" s="437"/>
      <c r="AH35" s="437"/>
    </row>
    <row r="36" spans="2:34" ht="18.75" x14ac:dyDescent="0.25">
      <c r="B36" s="280" t="s">
        <v>743</v>
      </c>
      <c r="C36" s="344" t="str">
        <f>IF(D31="R",AB31,"")</f>
        <v/>
      </c>
      <c r="J36" s="18"/>
      <c r="AA36" s="437"/>
      <c r="AB36" s="437"/>
      <c r="AC36" s="437"/>
      <c r="AD36" s="437"/>
      <c r="AE36" s="437"/>
      <c r="AF36" s="437"/>
      <c r="AG36" s="437"/>
      <c r="AH36" s="437"/>
    </row>
    <row r="37" spans="2:34" ht="18.75" x14ac:dyDescent="0.3">
      <c r="B37" s="280" t="s">
        <v>745</v>
      </c>
      <c r="C37" s="53"/>
      <c r="D37" s="263" t="str">
        <f>IF(OR(TEXT(AA37,"0")="1,84 g/mL",AD37="R"),"R",IF(TRIM(C37)="","","F"))</f>
        <v/>
      </c>
      <c r="J37" s="18"/>
      <c r="AA37" s="455">
        <v>0.96</v>
      </c>
      <c r="AB37" s="437">
        <v>0.96</v>
      </c>
      <c r="AC37" s="437"/>
      <c r="AD37" s="437" t="str">
        <f>IFERROR(IF((ABS(AB37-C37)/AB37)&lt;0.01,"R",IF(TRIM(C37)="","","F")),"")</f>
        <v/>
      </c>
      <c r="AE37" s="437"/>
      <c r="AF37" s="437"/>
      <c r="AG37" s="437"/>
      <c r="AH37" s="437"/>
    </row>
    <row r="38" spans="2:34" ht="18.75" x14ac:dyDescent="0.3">
      <c r="B38" s="280" t="s">
        <v>744</v>
      </c>
      <c r="C38" s="144"/>
      <c r="D38" s="263" t="str">
        <f>IF(OR(TEXT(AA38,"0")="1,84 g/mL",AD38="R"),"R",IF(TRIM(C38)="","","F"))</f>
        <v/>
      </c>
      <c r="J38" s="18"/>
      <c r="AA38" s="437" t="s">
        <v>682</v>
      </c>
      <c r="AB38" s="456">
        <f>AB31*AB37</f>
        <v>1766.3999999999999</v>
      </c>
      <c r="AC38" s="437"/>
      <c r="AD38" s="437" t="str">
        <f>IFERROR(IF((ABS(AB38-C38)/AB38)&lt;0.03,"R",IF(TRIM(C38)="","","F")),"")</f>
        <v/>
      </c>
      <c r="AE38" s="437"/>
      <c r="AF38" s="437"/>
      <c r="AG38" s="437"/>
      <c r="AH38" s="437"/>
    </row>
    <row r="39" spans="2:34" x14ac:dyDescent="0.25">
      <c r="B39" s="17"/>
      <c r="J39" s="18"/>
      <c r="AA39" s="437"/>
      <c r="AB39" s="437"/>
      <c r="AC39" s="437"/>
      <c r="AD39" s="437"/>
      <c r="AE39" s="437"/>
      <c r="AF39" s="437"/>
      <c r="AG39" s="437"/>
      <c r="AH39" s="437"/>
    </row>
    <row r="40" spans="2:34" x14ac:dyDescent="0.25">
      <c r="B40" s="17"/>
      <c r="J40" s="18"/>
      <c r="AA40" s="437"/>
      <c r="AB40" s="437"/>
      <c r="AC40" s="437"/>
      <c r="AD40" s="437"/>
      <c r="AE40" s="437"/>
      <c r="AF40" s="437"/>
      <c r="AG40" s="437"/>
      <c r="AH40" s="437"/>
    </row>
    <row r="41" spans="2:34" x14ac:dyDescent="0.25">
      <c r="B41" s="17" t="str">
        <f>IF(D38="R","Hvilken stofmængde svarer det til?","")</f>
        <v/>
      </c>
      <c r="J41" s="18"/>
      <c r="AA41" s="437"/>
      <c r="AB41" s="437"/>
      <c r="AC41" s="437"/>
      <c r="AD41" s="437"/>
      <c r="AE41" s="437"/>
      <c r="AF41" s="437"/>
      <c r="AG41" s="437"/>
      <c r="AH41" s="437"/>
    </row>
    <row r="42" spans="2:34" x14ac:dyDescent="0.25">
      <c r="B42" s="286" t="s">
        <v>643</v>
      </c>
      <c r="C42" s="286" t="s">
        <v>642</v>
      </c>
      <c r="D42" s="286" t="s">
        <v>123</v>
      </c>
      <c r="J42" s="18"/>
      <c r="AA42" s="437"/>
      <c r="AB42" s="437"/>
      <c r="AC42" s="437"/>
      <c r="AD42" s="437"/>
      <c r="AE42" s="437"/>
      <c r="AF42" s="437"/>
      <c r="AG42" s="437"/>
      <c r="AH42" s="437"/>
    </row>
    <row r="43" spans="2:34" ht="18.75" x14ac:dyDescent="0.25">
      <c r="B43" s="280" t="s">
        <v>637</v>
      </c>
      <c r="C43" s="344" t="str">
        <f>IF(D38="R",AB38,"")</f>
        <v/>
      </c>
      <c r="J43" s="18"/>
      <c r="AA43" s="437"/>
      <c r="AB43" s="437"/>
      <c r="AC43" s="437"/>
      <c r="AD43" s="437"/>
      <c r="AE43" s="437"/>
      <c r="AF43" s="437"/>
      <c r="AG43" s="437"/>
      <c r="AH43" s="437"/>
    </row>
    <row r="44" spans="2:34" ht="18.75" x14ac:dyDescent="0.3">
      <c r="B44" s="280" t="s">
        <v>741</v>
      </c>
      <c r="C44" s="160"/>
      <c r="D44" s="263" t="str">
        <f>IF(OR(TEXT(AA44,"0")="1,84 g/mL",AD44="R"),"R",IF(TRIM(C44)="","","F"))</f>
        <v/>
      </c>
      <c r="J44" s="18"/>
      <c r="AA44" s="437" t="s">
        <v>648</v>
      </c>
      <c r="AB44" s="437">
        <v>98.078999999999994</v>
      </c>
      <c r="AC44" s="437"/>
      <c r="AD44" s="437" t="str">
        <f>IFERROR(IF((ABS(AB44-C44)/AB44)&lt;0.01,"R",IF(TRIM(C44)="","","F")),"")</f>
        <v/>
      </c>
      <c r="AE44" s="437"/>
      <c r="AF44" s="437"/>
      <c r="AG44" s="437"/>
      <c r="AH44" s="437"/>
    </row>
    <row r="45" spans="2:34" ht="18.75" x14ac:dyDescent="0.3">
      <c r="B45" s="280" t="s">
        <v>742</v>
      </c>
      <c r="C45" s="161"/>
      <c r="D45" s="263" t="str">
        <f>IF(OR(TEXT(AA45,"0")="1,84 g/mL",AD45="R"),"R",IF(TRIM(C45)="","","F"))</f>
        <v/>
      </c>
      <c r="J45" s="18"/>
      <c r="AA45" s="437" t="s">
        <v>653</v>
      </c>
      <c r="AB45" s="437">
        <f>AB38/AB44</f>
        <v>18.009971553543572</v>
      </c>
      <c r="AC45" s="437"/>
      <c r="AD45" s="437" t="str">
        <f>IFERROR(IF((ABS(AB45-C45)/AB45)&lt;0.01,"R",IF(TRIM(C45)="","","F")),"")</f>
        <v/>
      </c>
      <c r="AE45" s="437"/>
      <c r="AF45" s="437"/>
      <c r="AG45" s="437"/>
      <c r="AH45" s="437"/>
    </row>
    <row r="46" spans="2:34" x14ac:dyDescent="0.25">
      <c r="B46" s="17"/>
      <c r="J46" s="18"/>
      <c r="AA46" s="437"/>
      <c r="AB46" s="437"/>
      <c r="AC46" s="437"/>
      <c r="AD46" s="437"/>
      <c r="AE46" s="437"/>
      <c r="AF46" s="437"/>
      <c r="AG46" s="437"/>
      <c r="AH46" s="437"/>
    </row>
    <row r="47" spans="2:34" x14ac:dyDescent="0.25">
      <c r="B47" s="17"/>
      <c r="J47" s="18"/>
      <c r="AA47" s="437"/>
      <c r="AB47" s="437"/>
      <c r="AC47" s="437"/>
      <c r="AD47" s="437"/>
      <c r="AE47" s="437"/>
      <c r="AF47" s="437"/>
      <c r="AG47" s="437"/>
      <c r="AH47" s="437"/>
    </row>
    <row r="48" spans="2:34" x14ac:dyDescent="0.25">
      <c r="B48" s="17" t="str">
        <f>IF(D45="R","Hvilken stofmængdekoncentration svarer det til?","")</f>
        <v/>
      </c>
      <c r="J48" s="18"/>
      <c r="AA48" s="437"/>
      <c r="AB48" s="437"/>
      <c r="AC48" s="437"/>
      <c r="AD48" s="437"/>
      <c r="AE48" s="437"/>
      <c r="AF48" s="437"/>
      <c r="AG48" s="437"/>
      <c r="AH48" s="437"/>
    </row>
    <row r="49" spans="2:34" x14ac:dyDescent="0.25">
      <c r="B49" s="286" t="s">
        <v>643</v>
      </c>
      <c r="C49" s="286" t="s">
        <v>642</v>
      </c>
      <c r="D49" s="286" t="s">
        <v>123</v>
      </c>
      <c r="J49" s="18"/>
      <c r="AA49" s="437"/>
      <c r="AB49" s="437"/>
      <c r="AC49" s="437"/>
      <c r="AD49" s="437"/>
      <c r="AE49" s="437"/>
      <c r="AF49" s="437"/>
      <c r="AG49" s="437"/>
      <c r="AH49" s="437"/>
    </row>
    <row r="50" spans="2:34" ht="18.75" x14ac:dyDescent="0.25">
      <c r="B50" s="280" t="s">
        <v>647</v>
      </c>
      <c r="C50" s="345" t="str">
        <f>IF(D45="R",AB45,"")</f>
        <v/>
      </c>
      <c r="J50" s="18"/>
      <c r="AA50" s="437"/>
      <c r="AB50" s="437"/>
      <c r="AC50" s="437"/>
      <c r="AD50" s="437"/>
      <c r="AE50" s="437"/>
      <c r="AF50" s="437"/>
      <c r="AG50" s="437"/>
      <c r="AH50" s="437"/>
    </row>
    <row r="51" spans="2:34" ht="18.75" x14ac:dyDescent="0.3">
      <c r="B51" s="280" t="s">
        <v>651</v>
      </c>
      <c r="C51" s="163"/>
      <c r="D51" s="263" t="str">
        <f>IF(OR(TEXT(AA51,"0")="1,84 g/mL",AD51="R"),"R",IF(TRIM(C51)="","","F"))</f>
        <v/>
      </c>
      <c r="J51" s="18"/>
      <c r="AA51" s="437" t="s">
        <v>652</v>
      </c>
      <c r="AB51" s="437">
        <v>1</v>
      </c>
      <c r="AC51" s="437"/>
      <c r="AD51" s="437" t="str">
        <f>IFERROR(IF((ABS(AB51-C51)/AB51)&lt;0.01,"R",IF(TRIM(C51)="","","F")),"")</f>
        <v/>
      </c>
      <c r="AE51" s="437"/>
      <c r="AF51" s="437"/>
      <c r="AG51" s="437"/>
      <c r="AH51" s="437"/>
    </row>
    <row r="52" spans="2:34" ht="18.75" x14ac:dyDescent="0.3">
      <c r="B52" s="280" t="s">
        <v>650</v>
      </c>
      <c r="C52" s="164"/>
      <c r="D52" s="263" t="str">
        <f>IF(OR(TEXT(AA52,"0")="1,84 g/mL",AD52="R"),"R",IF(TRIM(C52)="","","F"))</f>
        <v/>
      </c>
      <c r="J52" s="18"/>
      <c r="AA52" s="437" t="s">
        <v>654</v>
      </c>
      <c r="AB52" s="437">
        <f>AB45</f>
        <v>18.009971553543572</v>
      </c>
      <c r="AC52" s="437"/>
      <c r="AD52" s="437" t="str">
        <f>IFERROR(IF((ABS(AB52-C52)/AB52)&lt;0.01,"R",IF(TRIM(C52)="","","F")),"")</f>
        <v/>
      </c>
      <c r="AE52" s="437"/>
      <c r="AF52" s="437"/>
      <c r="AG52" s="437"/>
      <c r="AH52" s="437"/>
    </row>
    <row r="53" spans="2:34" x14ac:dyDescent="0.25">
      <c r="B53" s="19"/>
      <c r="C53" s="20"/>
      <c r="D53" s="20"/>
      <c r="E53" s="20"/>
      <c r="F53" s="20"/>
      <c r="G53" s="20"/>
      <c r="H53" s="20"/>
      <c r="I53" s="20"/>
      <c r="J53" s="21"/>
      <c r="AA53" s="437"/>
      <c r="AB53" s="437"/>
      <c r="AC53" s="437"/>
      <c r="AD53" s="437"/>
      <c r="AE53" s="437"/>
      <c r="AF53" s="437"/>
      <c r="AG53" s="437"/>
      <c r="AH53" s="437"/>
    </row>
    <row r="54" spans="2:34" ht="28.5" customHeight="1" x14ac:dyDescent="0.4">
      <c r="B54" s="226" t="str">
        <f>IF(D52="R", "Perfekt. Du har nu vist at koncentreret svovlsyre har et stofmængdekoncentration på 18 M","")</f>
        <v/>
      </c>
      <c r="AA54" s="437"/>
      <c r="AB54" s="437"/>
      <c r="AC54" s="437"/>
      <c r="AD54" s="437"/>
      <c r="AE54" s="437"/>
      <c r="AF54" s="437"/>
      <c r="AG54" s="437"/>
      <c r="AH54" s="437"/>
    </row>
  </sheetData>
  <sheetProtection algorithmName="SHA-512" hashValue="5LmSnw/oI4RsWe76Bn8f9ns2XALzl23En1MtNdfFBmlQsZlXXI7Myexy9qfaaOXyYL/h34IsPOpjxYSFDaa45w==" saltValue="dyMy1H+EVK8Xr55aCVl6XA==" spinCount="100000" sheet="1" objects="1" scenarios="1" formatColumns="0" formatRows="0"/>
  <conditionalFormatting sqref="B17:D20 E17:I38 B25:D27 B32:D34 B40:D41 E40:I52 B46:D48 B53:I53">
    <cfRule type="expression" dxfId="227" priority="4">
      <formula>$D$52="R"</formula>
    </cfRule>
  </conditionalFormatting>
  <conditionalFormatting sqref="B28:D31">
    <cfRule type="expression" dxfId="226" priority="31">
      <formula>$D$24&lt;&gt;"R"</formula>
    </cfRule>
  </conditionalFormatting>
  <conditionalFormatting sqref="B35:D38">
    <cfRule type="expression" dxfId="225" priority="288">
      <formula>$D$31&lt;&gt;"R"</formula>
    </cfRule>
  </conditionalFormatting>
  <conditionalFormatting sqref="B42:D45">
    <cfRule type="expression" dxfId="224" priority="18">
      <formula>$D$38&lt;&gt;"R"</formula>
    </cfRule>
  </conditionalFormatting>
  <conditionalFormatting sqref="B49:D52">
    <cfRule type="expression" dxfId="223" priority="11">
      <formula>$D$45&lt;&gt;"R"</formula>
    </cfRule>
  </conditionalFormatting>
  <conditionalFormatting sqref="B39:I39">
    <cfRule type="expression" dxfId="222" priority="3">
      <formula>$D$52="R"</formula>
    </cfRule>
  </conditionalFormatting>
  <conditionalFormatting sqref="D6:D13">
    <cfRule type="containsText" dxfId="221" priority="46" operator="containsText" text="R">
      <formula>NOT(ISERROR(SEARCH("R",D6)))</formula>
    </cfRule>
    <cfRule type="containsText" dxfId="220" priority="47" operator="containsText" text="F">
      <formula>NOT(ISERROR(SEARCH("F",D6)))</formula>
    </cfRule>
  </conditionalFormatting>
  <conditionalFormatting sqref="D30:D31">
    <cfRule type="containsText" dxfId="219" priority="1" operator="containsText" text="R">
      <formula>NOT(ISERROR(SEARCH("R",D30)))</formula>
    </cfRule>
    <cfRule type="containsText" dxfId="218" priority="2" operator="containsText" text="F">
      <formula>NOT(ISERROR(SEARCH("F",D30)))</formula>
    </cfRule>
  </conditionalFormatting>
  <conditionalFormatting sqref="D37:D38">
    <cfRule type="containsText" dxfId="217" priority="19" operator="containsText" text="R">
      <formula>NOT(ISERROR(SEARCH("R",D37)))</formula>
    </cfRule>
    <cfRule type="containsText" dxfId="216" priority="20" operator="containsText" text="F">
      <formula>NOT(ISERROR(SEARCH("F",D37)))</formula>
    </cfRule>
  </conditionalFormatting>
  <conditionalFormatting sqref="D38">
    <cfRule type="containsText" dxfId="215" priority="24" operator="containsText" text="R">
      <formula>NOT(ISERROR(SEARCH("R",D38)))</formula>
    </cfRule>
    <cfRule type="containsText" dxfId="214" priority="25" operator="containsText" text="F">
      <formula>NOT(ISERROR(SEARCH("F",D38)))</formula>
    </cfRule>
  </conditionalFormatting>
  <conditionalFormatting sqref="D44:D45">
    <cfRule type="containsText" dxfId="213" priority="12" operator="containsText" text="R">
      <formula>NOT(ISERROR(SEARCH("R",D44)))</formula>
    </cfRule>
    <cfRule type="containsText" dxfId="212" priority="13" operator="containsText" text="F">
      <formula>NOT(ISERROR(SEARCH("F",D44)))</formula>
    </cfRule>
  </conditionalFormatting>
  <conditionalFormatting sqref="D45">
    <cfRule type="containsText" dxfId="211" priority="16" operator="containsText" text="R">
      <formula>NOT(ISERROR(SEARCH("R",D45)))</formula>
    </cfRule>
    <cfRule type="containsText" dxfId="210" priority="17" operator="containsText" text="F">
      <formula>NOT(ISERROR(SEARCH("F",D45)))</formula>
    </cfRule>
  </conditionalFormatting>
  <conditionalFormatting sqref="D51:D52">
    <cfRule type="containsText" dxfId="209" priority="5" operator="containsText" text="R">
      <formula>NOT(ISERROR(SEARCH("R",D51)))</formula>
    </cfRule>
    <cfRule type="containsText" dxfId="208" priority="6" operator="containsText" text="F">
      <formula>NOT(ISERROR(SEARCH("F",D51)))</formula>
    </cfRule>
  </conditionalFormatting>
  <conditionalFormatting sqref="D52">
    <cfRule type="containsText" dxfId="207" priority="9" operator="containsText" text="R">
      <formula>NOT(ISERROR(SEARCH("R",D52)))</formula>
    </cfRule>
    <cfRule type="containsText" dxfId="206" priority="10" operator="containsText" text="F">
      <formula>NOT(ISERROR(SEARCH("F",D52)))</formula>
    </cfRule>
  </conditionalFormatting>
  <conditionalFormatting sqref="G6:G13 D22:D24">
    <cfRule type="containsText" dxfId="205" priority="52" operator="containsText" text="R">
      <formula>NOT(ISERROR(SEARCH("R",D6)))</formula>
    </cfRule>
    <cfRule type="containsText" dxfId="204" priority="53" operator="containsText" text="F">
      <formula>NOT(ISERROR(SEARCH("F",D6)))</formula>
    </cfRule>
  </conditionalFormatting>
  <conditionalFormatting sqref="I6:I13">
    <cfRule type="containsText" dxfId="203" priority="44" operator="containsText" text="R">
      <formula>NOT(ISERROR(SEARCH("R",I6)))</formula>
    </cfRule>
    <cfRule type="containsText" dxfId="202" priority="45" operator="containsText" text="F">
      <formula>NOT(ISERROR(SEARCH("F",I6)))</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56068-852D-432C-B5A1-856A677E3799}">
  <sheetPr codeName="Sheet14">
    <tabColor theme="4" tint="0.39997558519241921"/>
  </sheetPr>
  <dimension ref="A1:AK47"/>
  <sheetViews>
    <sheetView showGridLines="0" zoomScale="220" zoomScaleNormal="220" workbookViewId="0"/>
  </sheetViews>
  <sheetFormatPr defaultRowHeight="15" x14ac:dyDescent="0.25"/>
  <cols>
    <col min="2" max="2" width="21.42578125" customWidth="1"/>
    <col min="3" max="4" width="21.42578125" style="28" customWidth="1"/>
    <col min="5" max="7" width="21.42578125" customWidth="1"/>
    <col min="8" max="8" width="12.85546875" customWidth="1"/>
    <col min="9" max="10" width="12.42578125" customWidth="1"/>
    <col min="27" max="28" width="12" bestFit="1" customWidth="1"/>
    <col min="29" max="29" width="13.42578125" customWidth="1"/>
  </cols>
  <sheetData>
    <row r="1" spans="2:37" x14ac:dyDescent="0.25">
      <c r="AA1" s="437"/>
      <c r="AB1" s="437"/>
      <c r="AC1" s="437"/>
      <c r="AD1" s="437"/>
      <c r="AE1" s="437"/>
      <c r="AF1" s="437"/>
      <c r="AG1" s="437"/>
      <c r="AH1" s="437"/>
      <c r="AI1" s="437"/>
      <c r="AJ1" s="437"/>
      <c r="AK1" s="437"/>
    </row>
    <row r="2" spans="2:37" ht="40.5" customHeight="1" thickBot="1" x14ac:dyDescent="0.55000000000000004">
      <c r="B2" s="313" t="s">
        <v>603</v>
      </c>
      <c r="C2" s="346"/>
      <c r="D2" s="346"/>
      <c r="E2" s="346"/>
      <c r="F2" s="346"/>
      <c r="G2" s="347"/>
      <c r="AA2" s="437"/>
      <c r="AB2" s="437"/>
      <c r="AC2" s="437"/>
      <c r="AD2" s="437"/>
      <c r="AE2" s="437"/>
      <c r="AF2" s="437"/>
      <c r="AG2" s="437"/>
      <c r="AH2" s="437"/>
      <c r="AI2" s="437"/>
      <c r="AJ2" s="437"/>
      <c r="AK2" s="437"/>
    </row>
    <row r="3" spans="2:37" ht="18" customHeight="1" x14ac:dyDescent="0.25">
      <c r="B3" s="111" t="s">
        <v>0</v>
      </c>
      <c r="C3" s="112" t="s">
        <v>1</v>
      </c>
      <c r="D3" s="366"/>
      <c r="E3" s="366"/>
      <c r="G3" s="18"/>
      <c r="AA3" s="437"/>
      <c r="AB3" s="437"/>
      <c r="AC3" s="437"/>
      <c r="AD3" s="437"/>
      <c r="AE3" s="437"/>
      <c r="AF3" s="437"/>
      <c r="AG3" s="437"/>
      <c r="AH3" s="437"/>
      <c r="AI3" s="437"/>
      <c r="AJ3" s="437"/>
      <c r="AK3" s="437"/>
    </row>
    <row r="4" spans="2:37" ht="27" thickBot="1" x14ac:dyDescent="0.45">
      <c r="B4" s="294" t="s">
        <v>694</v>
      </c>
      <c r="C4" s="348"/>
      <c r="D4" s="295"/>
      <c r="E4" s="295"/>
      <c r="F4" s="295"/>
      <c r="G4" s="296"/>
      <c r="AA4" s="437"/>
      <c r="AB4" s="437"/>
      <c r="AC4" s="437"/>
      <c r="AD4" s="437"/>
      <c r="AE4" s="437"/>
      <c r="AF4" s="437"/>
      <c r="AG4" s="437"/>
      <c r="AH4" s="437"/>
      <c r="AI4" s="437"/>
      <c r="AJ4" s="437"/>
      <c r="AK4" s="437"/>
    </row>
    <row r="5" spans="2:37" x14ac:dyDescent="0.25">
      <c r="B5" s="78" t="s">
        <v>1077</v>
      </c>
      <c r="C5" s="92"/>
      <c r="D5" s="92"/>
      <c r="E5" s="79"/>
      <c r="F5" s="79"/>
      <c r="G5" s="80"/>
      <c r="AA5" s="437"/>
      <c r="AB5" s="437"/>
      <c r="AC5" s="437"/>
      <c r="AD5" s="437"/>
      <c r="AE5" s="437"/>
      <c r="AF5" s="437"/>
      <c r="AG5" s="437"/>
      <c r="AH5" s="437"/>
      <c r="AI5" s="437"/>
      <c r="AJ5" s="437"/>
      <c r="AK5" s="437"/>
    </row>
    <row r="6" spans="2:37" x14ac:dyDescent="0.25">
      <c r="B6" s="78" t="s">
        <v>748</v>
      </c>
      <c r="C6" s="92"/>
      <c r="D6" s="92"/>
      <c r="E6" s="79"/>
      <c r="F6" s="79"/>
      <c r="G6" s="80"/>
      <c r="AA6" s="437"/>
      <c r="AB6" s="437"/>
      <c r="AC6" s="437"/>
      <c r="AD6" s="437"/>
      <c r="AE6" s="437"/>
      <c r="AF6" s="437"/>
      <c r="AG6" s="437"/>
      <c r="AH6" s="437"/>
      <c r="AI6" s="437"/>
      <c r="AJ6" s="437"/>
      <c r="AK6" s="437"/>
    </row>
    <row r="7" spans="2:37" x14ac:dyDescent="0.25">
      <c r="B7" s="286" t="s">
        <v>643</v>
      </c>
      <c r="C7" s="286" t="s">
        <v>642</v>
      </c>
      <c r="D7" s="286" t="s">
        <v>123</v>
      </c>
      <c r="E7" s="168"/>
      <c r="F7" s="79"/>
      <c r="G7" s="80"/>
      <c r="AA7" s="437"/>
      <c r="AB7" s="437"/>
      <c r="AC7" s="437"/>
      <c r="AD7" s="437"/>
      <c r="AE7" s="437"/>
      <c r="AF7" s="437"/>
      <c r="AG7" s="437"/>
      <c r="AH7" s="437"/>
      <c r="AI7" s="437"/>
      <c r="AJ7" s="437"/>
      <c r="AK7" s="437"/>
    </row>
    <row r="8" spans="2:37" ht="18.75" x14ac:dyDescent="0.25">
      <c r="B8" s="280" t="s">
        <v>676</v>
      </c>
      <c r="C8" s="286">
        <v>15.2</v>
      </c>
      <c r="D8"/>
      <c r="E8" s="168"/>
      <c r="F8" s="79"/>
      <c r="G8" s="80"/>
      <c r="AA8" s="437"/>
      <c r="AB8" s="437"/>
      <c r="AC8" s="437"/>
      <c r="AD8" s="437"/>
      <c r="AE8" s="437"/>
      <c r="AF8" s="437"/>
      <c r="AG8" s="437"/>
      <c r="AH8" s="437"/>
      <c r="AI8" s="437"/>
      <c r="AJ8" s="437"/>
      <c r="AK8" s="437"/>
    </row>
    <row r="9" spans="2:37" ht="18.75" x14ac:dyDescent="0.3">
      <c r="B9" s="280" t="s">
        <v>655</v>
      </c>
      <c r="C9" s="50"/>
      <c r="D9" s="265" t="str">
        <f>IF(OR(TRIM(C9)=AA9,AD9="R"),"R",IF(TRIM(C9)="","","F"))</f>
        <v/>
      </c>
      <c r="E9" s="169" t="str">
        <f>IF(D9="R","Pænt opskrevet:     "&amp;AA9,"")</f>
        <v/>
      </c>
      <c r="F9" s="170"/>
      <c r="G9" s="171"/>
      <c r="AA9" s="437" t="s">
        <v>662</v>
      </c>
      <c r="AB9" s="437">
        <f>10^(-15.2)</f>
        <v>6.3095734448019074E-16</v>
      </c>
      <c r="AC9" s="437"/>
      <c r="AD9" s="437" t="str">
        <f>IFERROR(IF((ABS(AB9-C9)/AB9)&lt;0.05,"R",IF(TRIM(C9)="","","F")),"")</f>
        <v/>
      </c>
      <c r="AE9" s="437"/>
      <c r="AF9" s="437"/>
      <c r="AG9" s="437"/>
      <c r="AH9" s="437"/>
      <c r="AI9" s="437"/>
      <c r="AJ9" s="437"/>
      <c r="AK9" s="437"/>
    </row>
    <row r="10" spans="2:37" ht="18.75" x14ac:dyDescent="0.3">
      <c r="B10" s="280" t="s">
        <v>657</v>
      </c>
      <c r="C10" s="12"/>
      <c r="D10" s="265" t="str">
        <f>IF(OR(TRIM(C10)=AA10,AD10="R"),"R",IF(TRIM(C10)="","","F"))</f>
        <v/>
      </c>
      <c r="F10" s="79"/>
      <c r="G10" s="80"/>
      <c r="AA10" s="437">
        <v>-1.2</v>
      </c>
      <c r="AB10" s="437">
        <f>14-15.2</f>
        <v>-1.1999999999999993</v>
      </c>
      <c r="AC10" s="437"/>
      <c r="AD10" s="437" t="str">
        <f>IFERROR(IF((ABS(AB10-C10)/ABS(AB10))&lt;0.05,"R",IF(TRIM(C10)="","","F")),"")</f>
        <v/>
      </c>
      <c r="AE10" s="437"/>
      <c r="AF10" s="437"/>
      <c r="AG10" s="437"/>
      <c r="AH10" s="437"/>
      <c r="AI10" s="437"/>
      <c r="AJ10" s="437"/>
      <c r="AK10" s="437"/>
    </row>
    <row r="11" spans="2:37" ht="18.75" x14ac:dyDescent="0.3">
      <c r="B11" s="280" t="s">
        <v>656</v>
      </c>
      <c r="C11" s="165"/>
      <c r="D11" s="265" t="str">
        <f>IF(OR(TRIM(C11)=AA11,AD11="R"),"R",IF(TRIM(C11)="","","F"))</f>
        <v/>
      </c>
      <c r="F11" s="79"/>
      <c r="G11" s="80"/>
      <c r="AA11" s="437" t="s">
        <v>663</v>
      </c>
      <c r="AB11" s="437">
        <f>0.00000000000001/(AB9)</f>
        <v>15.848931924611199</v>
      </c>
      <c r="AC11" s="437"/>
      <c r="AD11" s="437" t="str">
        <f>IFERROR(IF((ABS(AB11-C11)/AB11)&lt;0.05,"R",IF(TRIM(C11)="","","F")),"")</f>
        <v/>
      </c>
      <c r="AE11" s="437"/>
      <c r="AF11" s="437"/>
      <c r="AG11" s="437"/>
      <c r="AH11" s="437"/>
      <c r="AI11" s="437"/>
      <c r="AJ11" s="437"/>
      <c r="AK11" s="437"/>
    </row>
    <row r="12" spans="2:37" x14ac:dyDescent="0.25">
      <c r="B12" s="78" t="str" cm="1">
        <f t="array" ref="B12">IF(AND(D9:D11="R"),"","Du får først adgang til næste del af opgaven, når svaret rigtigt på første del")</f>
        <v>Du får først adgang til næste del af opgaven, når svaret rigtigt på første del</v>
      </c>
      <c r="C12" s="92"/>
      <c r="D12" s="92"/>
      <c r="F12" s="79"/>
      <c r="G12" s="80"/>
      <c r="AA12" s="437"/>
      <c r="AB12" s="437"/>
      <c r="AC12" s="437"/>
      <c r="AD12" s="437"/>
      <c r="AE12" s="437"/>
      <c r="AF12" s="437"/>
      <c r="AG12" s="437"/>
      <c r="AH12" s="437"/>
      <c r="AI12" s="437"/>
      <c r="AJ12" s="437"/>
      <c r="AK12" s="437"/>
    </row>
    <row r="13" spans="2:37" x14ac:dyDescent="0.25">
      <c r="B13" s="172" t="s">
        <v>746</v>
      </c>
      <c r="C13" s="92"/>
      <c r="D13" s="92"/>
      <c r="F13" s="79"/>
      <c r="G13" s="80"/>
      <c r="AA13" s="437"/>
      <c r="AB13" s="437"/>
      <c r="AC13" s="437"/>
      <c r="AD13" s="437"/>
      <c r="AE13" s="437"/>
      <c r="AF13" s="437"/>
      <c r="AG13" s="437"/>
      <c r="AH13" s="437"/>
      <c r="AI13" s="437"/>
      <c r="AJ13" s="437"/>
      <c r="AK13" s="437"/>
    </row>
    <row r="14" spans="2:37" x14ac:dyDescent="0.25">
      <c r="B14" s="78" t="s">
        <v>664</v>
      </c>
      <c r="C14" s="92"/>
      <c r="D14" s="92"/>
      <c r="F14" s="79"/>
      <c r="G14" s="80"/>
      <c r="AA14" s="437"/>
      <c r="AB14" s="437"/>
      <c r="AC14" s="437"/>
      <c r="AD14" s="437"/>
      <c r="AE14" s="437"/>
      <c r="AF14" s="437"/>
      <c r="AG14" s="437"/>
      <c r="AH14" s="437"/>
      <c r="AI14" s="437"/>
      <c r="AJ14" s="437"/>
      <c r="AK14" s="437"/>
    </row>
    <row r="15" spans="2:37" x14ac:dyDescent="0.25">
      <c r="B15" s="286" t="s">
        <v>643</v>
      </c>
      <c r="C15" s="286" t="s">
        <v>642</v>
      </c>
      <c r="D15" s="286" t="s">
        <v>123</v>
      </c>
      <c r="F15" s="79"/>
      <c r="G15" s="80"/>
      <c r="AA15" s="437"/>
      <c r="AB15" s="437"/>
      <c r="AC15" s="437"/>
      <c r="AD15" s="437"/>
      <c r="AE15" s="437"/>
      <c r="AF15" s="437"/>
      <c r="AG15" s="437"/>
      <c r="AH15" s="437"/>
      <c r="AI15" s="437"/>
      <c r="AJ15" s="437"/>
      <c r="AK15" s="437"/>
    </row>
    <row r="16" spans="2:37" ht="18.75" x14ac:dyDescent="0.3">
      <c r="B16" s="280" t="s">
        <v>747</v>
      </c>
      <c r="C16" s="165"/>
      <c r="D16" s="265" t="str">
        <f>IF(OR(TRIM(C16)=AA16,AD16="R"),"R",IF(TRIM(C16)="","","F"))</f>
        <v/>
      </c>
      <c r="F16" s="79"/>
      <c r="G16" s="80"/>
      <c r="AA16" s="437" t="str">
        <f>AA11</f>
        <v>15,8 M</v>
      </c>
      <c r="AB16" s="437">
        <f>AB11</f>
        <v>15.848931924611199</v>
      </c>
      <c r="AC16" s="437"/>
      <c r="AD16" s="437" t="str">
        <f>IFERROR(IF((ABS(AB16-C16)/AB16)&lt;0.01,"R",IF(TRIM(C16)="","","F")),"")</f>
        <v/>
      </c>
      <c r="AE16" s="437"/>
      <c r="AF16" s="437"/>
      <c r="AG16" s="437"/>
      <c r="AH16" s="437"/>
      <c r="AI16" s="437"/>
      <c r="AJ16" s="437"/>
      <c r="AK16" s="437"/>
    </row>
    <row r="17" spans="1:37" x14ac:dyDescent="0.25">
      <c r="A17" s="18"/>
      <c r="G17" s="18"/>
      <c r="AA17" s="437"/>
      <c r="AB17" s="437"/>
      <c r="AC17" s="437"/>
      <c r="AD17" s="437"/>
      <c r="AE17" s="437"/>
      <c r="AF17" s="437"/>
      <c r="AG17" s="437"/>
      <c r="AH17" s="437"/>
      <c r="AI17" s="437"/>
      <c r="AJ17" s="437"/>
      <c r="AK17" s="437"/>
    </row>
    <row r="18" spans="1:37" x14ac:dyDescent="0.25">
      <c r="A18" s="18"/>
      <c r="G18" s="18"/>
      <c r="AA18" s="437"/>
      <c r="AB18" s="437"/>
      <c r="AC18" s="437"/>
      <c r="AD18" s="437"/>
      <c r="AE18" s="437"/>
      <c r="AF18" s="437"/>
      <c r="AG18" s="437"/>
      <c r="AH18" s="437"/>
      <c r="AI18" s="437"/>
      <c r="AJ18" s="437"/>
      <c r="AK18" s="437"/>
    </row>
    <row r="19" spans="1:37" x14ac:dyDescent="0.25">
      <c r="B19" s="78" t="s">
        <v>665</v>
      </c>
      <c r="C19" s="92"/>
      <c r="D19" s="92"/>
      <c r="F19" s="79"/>
      <c r="G19" s="80"/>
      <c r="AA19" s="437"/>
      <c r="AB19" s="437"/>
      <c r="AC19" s="437"/>
      <c r="AD19" s="437"/>
      <c r="AE19" s="437"/>
      <c r="AF19" s="437"/>
      <c r="AG19" s="437"/>
      <c r="AH19" s="437"/>
      <c r="AI19" s="437"/>
      <c r="AJ19" s="437"/>
      <c r="AK19" s="437"/>
    </row>
    <row r="20" spans="1:37" x14ac:dyDescent="0.25">
      <c r="B20" s="286" t="s">
        <v>643</v>
      </c>
      <c r="C20" s="286" t="s">
        <v>642</v>
      </c>
      <c r="D20" s="349" t="s">
        <v>123</v>
      </c>
      <c r="F20" s="79"/>
      <c r="G20" s="80"/>
      <c r="AA20" s="437"/>
      <c r="AB20" s="437"/>
      <c r="AC20" s="437"/>
      <c r="AD20" s="437"/>
      <c r="AE20" s="437"/>
      <c r="AF20" s="437"/>
      <c r="AG20" s="437"/>
      <c r="AH20" s="437"/>
      <c r="AI20" s="437"/>
      <c r="AJ20" s="437"/>
      <c r="AK20" s="437"/>
    </row>
    <row r="21" spans="1:37" ht="18.75" x14ac:dyDescent="0.3">
      <c r="B21" s="280" t="s">
        <v>747</v>
      </c>
      <c r="C21" s="350" t="str">
        <f>IF(D16="R",AB16,"")</f>
        <v/>
      </c>
      <c r="D21" s="113"/>
      <c r="F21" s="79"/>
      <c r="G21" s="80"/>
      <c r="AA21" s="437"/>
      <c r="AB21" s="437"/>
      <c r="AC21" s="437"/>
      <c r="AD21" s="437"/>
      <c r="AE21" s="437"/>
      <c r="AF21" s="437"/>
      <c r="AG21" s="437"/>
      <c r="AH21" s="437"/>
      <c r="AI21" s="437"/>
      <c r="AJ21" s="437"/>
      <c r="AK21" s="437"/>
    </row>
    <row r="22" spans="1:37" ht="18.75" x14ac:dyDescent="0.3">
      <c r="B22" s="280" t="s">
        <v>651</v>
      </c>
      <c r="C22" s="167"/>
      <c r="D22" s="271" t="str">
        <f>IF(OR(TEXT(AA22,"0")="1,84 g/mL",AD22="R"),"R",IF(TRIM(C22)="","","F"))</f>
        <v/>
      </c>
      <c r="F22" s="79"/>
      <c r="G22" s="80"/>
      <c r="AA22" s="437" t="s">
        <v>661</v>
      </c>
      <c r="AB22" s="437">
        <v>1</v>
      </c>
      <c r="AC22" s="437"/>
      <c r="AD22" s="437" t="str">
        <f>IFERROR(IF((ABS(AB22-C22)/AB22)&lt;0.01,"R",IF(TRIM(C22)="","","F")),"")</f>
        <v/>
      </c>
      <c r="AE22" s="437"/>
      <c r="AF22" s="437"/>
      <c r="AG22" s="437"/>
      <c r="AH22" s="437"/>
      <c r="AI22" s="437"/>
      <c r="AJ22" s="437"/>
      <c r="AK22" s="437"/>
    </row>
    <row r="23" spans="1:37" ht="18.75" x14ac:dyDescent="0.3">
      <c r="B23" s="280" t="s">
        <v>660</v>
      </c>
      <c r="C23" s="166"/>
      <c r="D23" s="265" t="str">
        <f>IF(OR(TEXT(AA23,"0")="1,84 g/mL",AD23="R"),"R",IF(TRIM(C23)="","","F"))</f>
        <v/>
      </c>
      <c r="F23" s="79"/>
      <c r="G23" s="80"/>
      <c r="AA23" s="437" t="s">
        <v>667</v>
      </c>
      <c r="AB23" s="437">
        <f>AB22*AB16</f>
        <v>15.848931924611199</v>
      </c>
      <c r="AC23" s="437"/>
      <c r="AD23" s="437" t="str">
        <f>IFERROR(IF((ABS(AB23-C23)/AB23)&lt;0.01,"R",IF(TRIM(C23)="","","F")),"")</f>
        <v/>
      </c>
      <c r="AE23" s="437"/>
      <c r="AF23" s="437"/>
      <c r="AG23" s="437"/>
      <c r="AH23" s="437"/>
      <c r="AI23" s="437"/>
      <c r="AJ23" s="437"/>
      <c r="AK23" s="437"/>
    </row>
    <row r="24" spans="1:37" x14ac:dyDescent="0.25">
      <c r="B24" s="78"/>
      <c r="C24" s="92"/>
      <c r="D24" s="92"/>
      <c r="E24" s="79"/>
      <c r="F24" s="79"/>
      <c r="G24" s="80"/>
      <c r="AA24" s="437"/>
      <c r="AB24" s="437"/>
      <c r="AC24" s="437"/>
      <c r="AD24" s="437"/>
      <c r="AE24" s="437"/>
      <c r="AF24" s="437"/>
      <c r="AG24" s="437"/>
      <c r="AH24" s="437"/>
      <c r="AI24" s="437"/>
      <c r="AJ24" s="437"/>
      <c r="AK24" s="437"/>
    </row>
    <row r="25" spans="1:37" x14ac:dyDescent="0.25">
      <c r="B25" s="78"/>
      <c r="C25" s="92"/>
      <c r="D25" s="92"/>
      <c r="E25" s="79"/>
      <c r="F25" s="79"/>
      <c r="G25" s="80"/>
      <c r="AA25" s="437"/>
      <c r="AB25" s="437"/>
      <c r="AC25" s="437"/>
      <c r="AD25" s="437"/>
      <c r="AE25" s="437"/>
      <c r="AF25" s="437"/>
      <c r="AG25" s="437"/>
      <c r="AH25" s="437"/>
      <c r="AI25" s="437"/>
      <c r="AJ25" s="437"/>
      <c r="AK25" s="437"/>
    </row>
    <row r="26" spans="1:37" x14ac:dyDescent="0.25">
      <c r="B26" s="78" t="s">
        <v>666</v>
      </c>
      <c r="C26" s="92"/>
      <c r="D26" s="92"/>
      <c r="F26" s="79"/>
      <c r="G26" s="80"/>
      <c r="AA26" s="437"/>
      <c r="AB26" s="437"/>
      <c r="AC26" s="437"/>
      <c r="AD26" s="437"/>
      <c r="AE26" s="437"/>
      <c r="AF26" s="437"/>
      <c r="AG26" s="437"/>
      <c r="AH26" s="437"/>
      <c r="AI26" s="437"/>
      <c r="AJ26" s="437"/>
      <c r="AK26" s="437"/>
    </row>
    <row r="27" spans="1:37" x14ac:dyDescent="0.25">
      <c r="B27" s="286" t="s">
        <v>643</v>
      </c>
      <c r="C27" s="286" t="s">
        <v>642</v>
      </c>
      <c r="D27" s="349" t="s">
        <v>123</v>
      </c>
      <c r="F27" s="79"/>
      <c r="G27" s="80"/>
      <c r="AA27" s="437"/>
      <c r="AB27" s="437"/>
      <c r="AC27" s="437"/>
      <c r="AD27" s="437"/>
      <c r="AE27" s="437"/>
      <c r="AF27" s="437"/>
      <c r="AG27" s="437"/>
      <c r="AH27" s="437"/>
      <c r="AI27" s="437"/>
      <c r="AJ27" s="437"/>
      <c r="AK27" s="437"/>
    </row>
    <row r="28" spans="1:37" ht="18.75" x14ac:dyDescent="0.3">
      <c r="B28" s="280" t="s">
        <v>8</v>
      </c>
      <c r="C28" s="345" t="str">
        <f>IF(D23="R",AB23,"")</f>
        <v/>
      </c>
      <c r="D28" s="113"/>
      <c r="F28" s="79"/>
      <c r="G28" s="80"/>
      <c r="AA28" s="437"/>
      <c r="AB28" s="437"/>
      <c r="AC28" s="437"/>
      <c r="AD28" s="437"/>
      <c r="AE28" s="437"/>
      <c r="AF28" s="437"/>
      <c r="AG28" s="437"/>
      <c r="AH28" s="437"/>
      <c r="AI28" s="437"/>
      <c r="AJ28" s="437"/>
      <c r="AK28" s="437"/>
    </row>
    <row r="29" spans="1:37" ht="18.75" x14ac:dyDescent="0.3">
      <c r="B29" s="280" t="s">
        <v>7</v>
      </c>
      <c r="C29" s="160"/>
      <c r="D29" s="271" t="str">
        <f>IF(OR(TEXT(AA29,"0")="1,84 g/mL",AD29="R"),"R",IF(TRIM(C29)="","","F"))</f>
        <v/>
      </c>
      <c r="F29" s="79"/>
      <c r="G29" s="80"/>
      <c r="AA29" s="437" t="s">
        <v>668</v>
      </c>
      <c r="AB29" s="437">
        <v>56.105600000000003</v>
      </c>
      <c r="AC29" s="437"/>
      <c r="AD29" s="437" t="str">
        <f>IFERROR(IF((ABS(AB29-C29)/AB29)&lt;0.01,"R",IF(TRIM(C29)="","","F")),"")</f>
        <v/>
      </c>
      <c r="AE29" s="437"/>
      <c r="AF29" s="437"/>
      <c r="AG29" s="437"/>
      <c r="AH29" s="437"/>
      <c r="AI29" s="437"/>
      <c r="AJ29" s="437"/>
      <c r="AK29" s="437"/>
    </row>
    <row r="30" spans="1:37" ht="18.75" x14ac:dyDescent="0.3">
      <c r="B30" s="280" t="s">
        <v>6</v>
      </c>
      <c r="C30" s="144"/>
      <c r="D30" s="265" t="str">
        <f>IF(OR(TEXT(AA30,"0")="1,84 g/mL",AD30="R"),"R",IF(TRIM(C30)="","","F"))</f>
        <v/>
      </c>
      <c r="F30" s="79"/>
      <c r="G30" s="80"/>
      <c r="AA30" s="437" t="s">
        <v>669</v>
      </c>
      <c r="AB30" s="437">
        <f>AB23*AB29</f>
        <v>889.21383498946614</v>
      </c>
      <c r="AC30" s="437"/>
      <c r="AD30" s="437" t="str">
        <f>IFERROR(IF((ABS(AB30-C30)/AB30)&lt;0.01,"R",IF(TRIM(C30)="","","F")),"")</f>
        <v/>
      </c>
      <c r="AE30" s="437"/>
      <c r="AF30" s="437"/>
      <c r="AG30" s="437"/>
      <c r="AH30" s="437"/>
      <c r="AI30" s="437"/>
      <c r="AJ30" s="437"/>
      <c r="AK30" s="437"/>
    </row>
    <row r="31" spans="1:37" x14ac:dyDescent="0.25">
      <c r="B31" s="78"/>
      <c r="C31" s="92"/>
      <c r="D31" s="92"/>
      <c r="E31" s="79"/>
      <c r="F31" s="79"/>
      <c r="G31" s="80"/>
      <c r="AA31" s="437"/>
      <c r="AB31" s="437"/>
      <c r="AC31" s="437"/>
      <c r="AD31" s="437"/>
      <c r="AE31" s="437"/>
      <c r="AF31" s="437"/>
      <c r="AG31" s="437"/>
      <c r="AH31" s="437"/>
      <c r="AI31" s="437"/>
      <c r="AJ31" s="437"/>
      <c r="AK31" s="437"/>
    </row>
    <row r="32" spans="1:37" x14ac:dyDescent="0.25">
      <c r="B32" s="78" t="s">
        <v>749</v>
      </c>
      <c r="C32" s="92"/>
      <c r="D32" s="92"/>
      <c r="F32" s="79"/>
      <c r="G32" s="80"/>
      <c r="AA32" s="437"/>
      <c r="AB32" s="437"/>
      <c r="AC32" s="437"/>
      <c r="AD32" s="437"/>
      <c r="AE32" s="437"/>
      <c r="AF32" s="437"/>
      <c r="AG32" s="437"/>
      <c r="AH32" s="437"/>
      <c r="AI32" s="437"/>
      <c r="AJ32" s="437"/>
      <c r="AK32" s="437"/>
    </row>
    <row r="33" spans="2:37" x14ac:dyDescent="0.25">
      <c r="B33" s="78" t="s">
        <v>670</v>
      </c>
      <c r="C33" s="92"/>
      <c r="D33" s="92"/>
      <c r="F33" s="79"/>
      <c r="G33" s="80"/>
      <c r="AA33" s="437"/>
      <c r="AB33" s="437"/>
      <c r="AC33" s="437"/>
      <c r="AD33" s="437"/>
      <c r="AE33" s="437"/>
      <c r="AF33" s="437"/>
      <c r="AG33" s="437"/>
      <c r="AH33" s="437"/>
      <c r="AI33" s="437"/>
      <c r="AJ33" s="437"/>
      <c r="AK33" s="437"/>
    </row>
    <row r="34" spans="2:37" x14ac:dyDescent="0.25">
      <c r="B34" s="286" t="s">
        <v>643</v>
      </c>
      <c r="C34" s="286" t="s">
        <v>642</v>
      </c>
      <c r="D34" s="286" t="s">
        <v>123</v>
      </c>
      <c r="F34" s="79"/>
      <c r="G34" s="80"/>
      <c r="AA34" s="437"/>
      <c r="AB34" s="437"/>
      <c r="AC34" s="437"/>
      <c r="AD34" s="437"/>
      <c r="AE34" s="437"/>
      <c r="AF34" s="437"/>
      <c r="AG34" s="437"/>
      <c r="AH34" s="437"/>
      <c r="AI34" s="437"/>
      <c r="AJ34" s="437"/>
      <c r="AK34" s="437"/>
    </row>
    <row r="35" spans="2:37" ht="18.75" x14ac:dyDescent="0.3">
      <c r="B35" s="280" t="s">
        <v>671</v>
      </c>
      <c r="C35" s="344" t="str">
        <f>IF(D30="R",AB30,"")</f>
        <v/>
      </c>
      <c r="D35" s="113"/>
      <c r="F35" s="79"/>
      <c r="G35" s="80"/>
      <c r="AA35" s="437"/>
      <c r="AB35" s="437"/>
      <c r="AC35" s="437"/>
      <c r="AD35" s="437"/>
      <c r="AE35" s="437"/>
      <c r="AF35" s="437"/>
      <c r="AG35" s="437"/>
      <c r="AH35" s="437"/>
      <c r="AI35" s="437"/>
      <c r="AJ35" s="437"/>
      <c r="AK35" s="437"/>
    </row>
    <row r="36" spans="2:37" ht="18.75" x14ac:dyDescent="0.3">
      <c r="B36" s="280" t="s">
        <v>672</v>
      </c>
      <c r="C36" s="144"/>
      <c r="D36" s="265" t="str">
        <f>IF(OR(TEXT(AA36,"0")="1,84 g/mL",AD36="R"),"R",IF(TRIM(C36)="","","F"))</f>
        <v/>
      </c>
      <c r="F36" s="79"/>
      <c r="G36" s="80"/>
      <c r="AA36" s="437" t="s">
        <v>673</v>
      </c>
      <c r="AB36" s="437">
        <v>1500</v>
      </c>
      <c r="AC36" s="437"/>
      <c r="AD36" s="437" t="str">
        <f>IFERROR(IF((ABS(AB36-C36)/AB36)&lt;0.01,"R",IF(TRIM(C36)="","","F")),"")</f>
        <v/>
      </c>
      <c r="AE36" s="437"/>
      <c r="AF36" s="437"/>
      <c r="AG36" s="437"/>
      <c r="AH36" s="437"/>
      <c r="AI36" s="437"/>
      <c r="AJ36" s="437"/>
      <c r="AK36" s="437"/>
    </row>
    <row r="37" spans="2:37" ht="18.75" x14ac:dyDescent="0.3">
      <c r="B37" s="280" t="s">
        <v>649</v>
      </c>
      <c r="C37" s="53"/>
      <c r="D37" s="265" t="str">
        <f>IF(OR(TEXT(AA37,"0")="1,84 g/mL",AD37="R"),"R",IF(TRIM(C37)="","","F"))</f>
        <v/>
      </c>
      <c r="F37" s="79"/>
      <c r="G37" s="80"/>
      <c r="AA37" s="455">
        <v>0.59299999999999997</v>
      </c>
      <c r="AB37" s="437">
        <f>AB30/AB36</f>
        <v>0.59280922332631081</v>
      </c>
      <c r="AC37" s="437"/>
      <c r="AD37" s="437" t="str">
        <f>IFERROR(IF((ABS(AB37-C37)/AB37)&lt;0.01,"R",IF(TRIM(C37)="","","F")),"")</f>
        <v/>
      </c>
      <c r="AE37" s="437"/>
      <c r="AF37" s="437"/>
      <c r="AG37" s="437"/>
      <c r="AH37" s="437"/>
      <c r="AI37" s="437"/>
      <c r="AJ37" s="437"/>
      <c r="AK37" s="437"/>
    </row>
    <row r="38" spans="2:37" x14ac:dyDescent="0.25">
      <c r="B38" s="88"/>
      <c r="C38" s="96"/>
      <c r="D38" s="96"/>
      <c r="E38" s="87"/>
      <c r="F38" s="87"/>
      <c r="G38" s="86"/>
      <c r="AA38" s="437"/>
      <c r="AB38" s="437"/>
      <c r="AC38" s="437"/>
      <c r="AD38" s="437"/>
      <c r="AE38" s="437"/>
      <c r="AF38" s="437"/>
      <c r="AG38" s="437"/>
      <c r="AH38" s="437"/>
      <c r="AI38" s="437"/>
      <c r="AJ38" s="437"/>
      <c r="AK38" s="437"/>
    </row>
    <row r="39" spans="2:37" x14ac:dyDescent="0.25">
      <c r="B39" s="88"/>
      <c r="C39" s="96"/>
      <c r="D39" s="96"/>
      <c r="E39" s="87"/>
      <c r="F39" s="87"/>
      <c r="G39" s="94"/>
      <c r="AA39" s="437"/>
      <c r="AB39" s="437"/>
      <c r="AC39" s="437"/>
      <c r="AD39" s="437"/>
      <c r="AE39" s="437"/>
      <c r="AF39" s="437"/>
      <c r="AG39" s="437"/>
      <c r="AH39" s="437"/>
      <c r="AI39" s="437"/>
      <c r="AJ39" s="437"/>
      <c r="AK39" s="437"/>
    </row>
    <row r="40" spans="2:37" ht="27" thickBot="1" x14ac:dyDescent="0.45">
      <c r="B40" s="351" t="s">
        <v>674</v>
      </c>
      <c r="C40" s="352" t="s">
        <v>675</v>
      </c>
      <c r="D40" s="353"/>
      <c r="E40" s="353"/>
      <c r="F40" s="353"/>
      <c r="G40" s="354"/>
      <c r="AA40" s="437"/>
      <c r="AB40" s="437"/>
      <c r="AC40" s="437"/>
      <c r="AD40" s="437"/>
      <c r="AE40" s="437"/>
      <c r="AF40" s="437"/>
      <c r="AG40" s="437"/>
      <c r="AH40" s="437"/>
      <c r="AI40" s="437"/>
      <c r="AJ40" s="437"/>
      <c r="AK40" s="437"/>
    </row>
    <row r="41" spans="2:37" ht="26.25" x14ac:dyDescent="0.4">
      <c r="B41" s="116"/>
      <c r="C41" s="117"/>
      <c r="D41" s="118"/>
      <c r="E41" s="118"/>
      <c r="F41" s="118"/>
      <c r="G41" s="119"/>
      <c r="AA41" s="437"/>
      <c r="AB41" s="437"/>
      <c r="AC41" s="437"/>
      <c r="AD41" s="437"/>
      <c r="AE41" s="437"/>
      <c r="AF41" s="437"/>
      <c r="AG41" s="437"/>
      <c r="AH41" s="437"/>
      <c r="AI41" s="437"/>
      <c r="AJ41" s="437"/>
      <c r="AK41" s="437"/>
    </row>
    <row r="42" spans="2:37" ht="15.75" thickBot="1" x14ac:dyDescent="0.3">
      <c r="B42" s="286" t="s">
        <v>643</v>
      </c>
      <c r="C42" s="349" t="s">
        <v>677</v>
      </c>
      <c r="D42" s="349" t="s">
        <v>678</v>
      </c>
      <c r="E42" s="349" t="s">
        <v>679</v>
      </c>
      <c r="F42" s="349" t="s">
        <v>680</v>
      </c>
      <c r="G42" s="349" t="s">
        <v>681</v>
      </c>
      <c r="AA42" s="437"/>
      <c r="AB42" s="437"/>
      <c r="AC42" s="437"/>
      <c r="AD42" s="437"/>
      <c r="AE42" s="437"/>
      <c r="AF42" s="437"/>
      <c r="AG42" s="437"/>
      <c r="AH42" s="437"/>
      <c r="AI42" s="437"/>
      <c r="AJ42" s="437"/>
      <c r="AK42" s="437"/>
    </row>
    <row r="43" spans="2:37" ht="15.75" thickBot="1" x14ac:dyDescent="0.3">
      <c r="B43" s="57" t="s">
        <v>659</v>
      </c>
      <c r="C43" s="66">
        <v>1.3</v>
      </c>
      <c r="D43" s="61">
        <v>5.9999999999999997E-14</v>
      </c>
      <c r="E43" s="63"/>
      <c r="F43" s="63"/>
      <c r="G43" s="63"/>
      <c r="AA43" s="437">
        <f>C43</f>
        <v>1.3</v>
      </c>
      <c r="AB43" s="457">
        <v>5.9999999999999997E-14</v>
      </c>
      <c r="AC43" s="457">
        <f>0.00000000000001/AC44</f>
        <v>1.9230769230769231E-4</v>
      </c>
      <c r="AD43" s="457">
        <f>0.00000000000001/AD44</f>
        <v>1.5848931924611156E-11</v>
      </c>
      <c r="AE43" s="457">
        <f>0.00000000000001/AE44</f>
        <v>5.011872336272715E-14</v>
      </c>
      <c r="AF43" s="437"/>
      <c r="AG43" s="437" t="str">
        <f t="shared" ref="AG43:AK46" si="0">IFERROR(IF((ABS(AA43-C43)/ABS(AA43))&lt;0.05,"R",IF(TRIM(C43)="","","F")),"")</f>
        <v>R</v>
      </c>
      <c r="AH43" s="437" t="str">
        <f t="shared" si="0"/>
        <v>R</v>
      </c>
      <c r="AI43" s="437" t="str">
        <f t="shared" si="0"/>
        <v/>
      </c>
      <c r="AJ43" s="437" t="str">
        <f t="shared" si="0"/>
        <v/>
      </c>
      <c r="AK43" s="437" t="str">
        <f t="shared" si="0"/>
        <v/>
      </c>
    </row>
    <row r="44" spans="2:37" ht="15" customHeight="1" thickBot="1" x14ac:dyDescent="0.3">
      <c r="B44" s="55" t="s">
        <v>658</v>
      </c>
      <c r="C44" s="59"/>
      <c r="D44" s="52"/>
      <c r="E44" s="60">
        <v>5.2000000000000001E-11</v>
      </c>
      <c r="F44" s="63"/>
      <c r="G44" s="68"/>
      <c r="AA44" s="437">
        <f>10^(-AA45)</f>
        <v>7.6923076923076668E-15</v>
      </c>
      <c r="AB44" s="437">
        <f>10^(-AB45)</f>
        <v>0.16666666666666657</v>
      </c>
      <c r="AC44" s="457">
        <v>5.2000000000000001E-11</v>
      </c>
      <c r="AD44" s="437">
        <f>10^(-AD45)</f>
        <v>6.3095734448019244E-4</v>
      </c>
      <c r="AE44" s="437">
        <f>10^(-AE45)</f>
        <v>0.19952623149688828</v>
      </c>
      <c r="AF44" s="437"/>
      <c r="AG44" s="437" t="str">
        <f t="shared" si="0"/>
        <v/>
      </c>
      <c r="AH44" s="437" t="str">
        <f t="shared" si="0"/>
        <v/>
      </c>
      <c r="AI44" s="437" t="str">
        <f t="shared" si="0"/>
        <v>R</v>
      </c>
      <c r="AJ44" s="437" t="str">
        <f t="shared" si="0"/>
        <v/>
      </c>
      <c r="AK44" s="437" t="str">
        <f t="shared" si="0"/>
        <v/>
      </c>
    </row>
    <row r="45" spans="2:37" ht="15.75" thickBot="1" x14ac:dyDescent="0.3">
      <c r="B45" s="54" t="s">
        <v>676</v>
      </c>
      <c r="C45" s="65"/>
      <c r="D45" s="51"/>
      <c r="E45" s="64"/>
      <c r="F45" s="66">
        <v>3.2</v>
      </c>
      <c r="G45" s="114"/>
      <c r="AA45" s="437">
        <f>14-AA46</f>
        <v>14.113943352306837</v>
      </c>
      <c r="AB45" s="437">
        <f>14-AB46</f>
        <v>0.77815125038364386</v>
      </c>
      <c r="AC45" s="437">
        <f t="shared" ref="AC45:AE45" si="1">14-AC46</f>
        <v>10.283996656365201</v>
      </c>
      <c r="AD45" s="437">
        <f>F45</f>
        <v>3.2</v>
      </c>
      <c r="AE45" s="437">
        <f t="shared" si="1"/>
        <v>0.69999999999999929</v>
      </c>
      <c r="AF45" s="437"/>
      <c r="AG45" s="437" t="str">
        <f t="shared" si="0"/>
        <v/>
      </c>
      <c r="AH45" s="437" t="str">
        <f t="shared" si="0"/>
        <v/>
      </c>
      <c r="AI45" s="437" t="str">
        <f t="shared" si="0"/>
        <v/>
      </c>
      <c r="AJ45" s="437" t="str">
        <f t="shared" si="0"/>
        <v>R</v>
      </c>
      <c r="AK45" s="437" t="str">
        <f t="shared" si="0"/>
        <v/>
      </c>
    </row>
    <row r="46" spans="2:37" ht="15.75" thickBot="1" x14ac:dyDescent="0.3">
      <c r="B46" s="56" t="s">
        <v>657</v>
      </c>
      <c r="C46" s="58"/>
      <c r="D46" s="62"/>
      <c r="E46" s="62"/>
      <c r="F46" s="67"/>
      <c r="G46" s="115">
        <v>13.3</v>
      </c>
      <c r="AA46" s="437">
        <f>-LOG10(AA43)</f>
        <v>-0.11394335230683679</v>
      </c>
      <c r="AB46" s="437">
        <f>-LOG10(AB43)</f>
        <v>13.221848749616356</v>
      </c>
      <c r="AC46" s="437">
        <f>-LOG10(AC43)</f>
        <v>3.716003343634799</v>
      </c>
      <c r="AD46" s="437">
        <f>-LOG10(AD43)</f>
        <v>10.799999999999999</v>
      </c>
      <c r="AE46" s="437">
        <f>G46</f>
        <v>13.3</v>
      </c>
      <c r="AF46" s="437"/>
      <c r="AG46" s="437" t="str">
        <f t="shared" si="0"/>
        <v/>
      </c>
      <c r="AH46" s="437" t="str">
        <f t="shared" si="0"/>
        <v/>
      </c>
      <c r="AI46" s="437" t="str">
        <f t="shared" si="0"/>
        <v/>
      </c>
      <c r="AJ46" s="437" t="str">
        <f t="shared" si="0"/>
        <v/>
      </c>
      <c r="AK46" s="437" t="str">
        <f t="shared" si="0"/>
        <v>R</v>
      </c>
    </row>
    <row r="47" spans="2:37" ht="18.75" x14ac:dyDescent="0.3">
      <c r="B47" s="286" t="s">
        <v>123</v>
      </c>
      <c r="C47" s="265" t="str" cm="1">
        <f t="array" ref="C47">IF(AND(AG43:AG46="R"),"R",IF(OR(AG43:AG46="F"),"F",""))</f>
        <v/>
      </c>
      <c r="D47" s="265" t="str" cm="1">
        <f t="array" ref="D47">IF(AND(AH43:AH46="R"),"R",IF(OR(AH43:AH46="F"),"F",""))</f>
        <v/>
      </c>
      <c r="E47" s="265" t="str" cm="1">
        <f t="array" ref="E47">IF(AND(AI43:AI46="R"),"R",IF(OR(AI43:AI46="F"),"F",""))</f>
        <v/>
      </c>
      <c r="F47" s="265" t="str" cm="1">
        <f t="array" ref="F47">IF(AND(AJ43:AJ46="R"),"R",IF(OR(AJ43:AJ46="F"),"F",""))</f>
        <v/>
      </c>
      <c r="G47" s="265" t="str" cm="1">
        <f t="array" ref="G47">IF(AND(AK43:AK46="R"),"R",IF(OR(AK43:AK46="F"),"F",""))</f>
        <v/>
      </c>
      <c r="AA47" s="437"/>
      <c r="AB47" s="437"/>
      <c r="AC47" s="437"/>
      <c r="AD47" s="437"/>
      <c r="AE47" s="437"/>
      <c r="AF47" s="437"/>
      <c r="AG47" s="437"/>
      <c r="AH47" s="437"/>
      <c r="AI47" s="437"/>
      <c r="AJ47" s="437"/>
      <c r="AK47" s="437"/>
    </row>
  </sheetData>
  <sheetProtection algorithmName="SHA-512" hashValue="hf0HfemGHYP4TFW7KUxiu93y3xO6pYIzyMMLt8E65Kh2a+tKQMBuI8MCuo+hlVvqJXPe/Md3iTjbLIFJDxo5Wg==" saltValue="aQpgPaZCq/dJRkl7s+0Tnw==" spinCount="100000" sheet="1" objects="1" scenarios="1" formatColumns="0" formatRows="0"/>
  <conditionalFormatting sqref="B13:D16">
    <cfRule type="expression" dxfId="201" priority="51">
      <formula>$D$11&lt;&gt;"R"</formula>
    </cfRule>
  </conditionalFormatting>
  <conditionalFormatting sqref="B19:D23">
    <cfRule type="expression" dxfId="200" priority="58">
      <formula>$D$16&lt;&gt;"R"</formula>
    </cfRule>
  </conditionalFormatting>
  <conditionalFormatting sqref="B26:D30">
    <cfRule type="expression" dxfId="199" priority="24">
      <formula>$D$23&lt;&gt;"R"</formula>
    </cfRule>
  </conditionalFormatting>
  <conditionalFormatting sqref="B32:D37">
    <cfRule type="expression" dxfId="198" priority="33">
      <formula>$D$30&lt;&gt;"R"</formula>
    </cfRule>
  </conditionalFormatting>
  <conditionalFormatting sqref="B5:G6 F7:G38 E10:E18 B12:D14 B17:D19 E20:E38 B24:D26 B31:D33 B38:D38">
    <cfRule type="expression" dxfId="197" priority="1">
      <formula>AND($D$9:$D$11="R",$D$16="R",$D$22:$D$23="R",$D$29:$D$30="R",$D$36:$D$37="R")</formula>
    </cfRule>
  </conditionalFormatting>
  <conditionalFormatting sqref="C47:G47">
    <cfRule type="containsText" dxfId="196" priority="5" operator="containsText" text="R">
      <formula>NOT(ISERROR(SEARCH("R",C47)))</formula>
    </cfRule>
    <cfRule type="containsText" dxfId="195" priority="6" operator="containsText" text="F">
      <formula>NOT(ISERROR(SEARCH("F",C47)))</formula>
    </cfRule>
  </conditionalFormatting>
  <conditionalFormatting sqref="D9:D11">
    <cfRule type="containsText" dxfId="194" priority="56" operator="containsText" text="R">
      <formula>NOT(ISERROR(SEARCH("R",D9)))</formula>
    </cfRule>
    <cfRule type="containsText" dxfId="193" priority="57" operator="containsText" text="F">
      <formula>NOT(ISERROR(SEARCH("F",D9)))</formula>
    </cfRule>
  </conditionalFormatting>
  <conditionalFormatting sqref="D16">
    <cfRule type="containsText" dxfId="192" priority="25" operator="containsText" text="R">
      <formula>NOT(ISERROR(SEARCH("R",D16)))</formula>
    </cfRule>
    <cfRule type="containsText" dxfId="191" priority="26" operator="containsText" text="F">
      <formula>NOT(ISERROR(SEARCH("F",D16)))</formula>
    </cfRule>
  </conditionalFormatting>
  <conditionalFormatting sqref="D21:D23">
    <cfRule type="containsText" dxfId="190" priority="41" operator="containsText" text="R">
      <formula>NOT(ISERROR(SEARCH("R",D21)))</formula>
    </cfRule>
    <cfRule type="containsText" dxfId="189" priority="42" operator="containsText" text="F">
      <formula>NOT(ISERROR(SEARCH("F",D21)))</formula>
    </cfRule>
  </conditionalFormatting>
  <conditionalFormatting sqref="D23">
    <cfRule type="containsText" dxfId="188" priority="45" operator="containsText" text="R">
      <formula>NOT(ISERROR(SEARCH("R",D23)))</formula>
    </cfRule>
    <cfRule type="containsText" dxfId="187" priority="46" operator="containsText" text="F">
      <formula>NOT(ISERROR(SEARCH("F",D23)))</formula>
    </cfRule>
  </conditionalFormatting>
  <conditionalFormatting sqref="D28:D30">
    <cfRule type="containsText" dxfId="186" priority="18" operator="containsText" text="R">
      <formula>NOT(ISERROR(SEARCH("R",D28)))</formula>
    </cfRule>
    <cfRule type="containsText" dxfId="185" priority="19" operator="containsText" text="F">
      <formula>NOT(ISERROR(SEARCH("F",D28)))</formula>
    </cfRule>
  </conditionalFormatting>
  <conditionalFormatting sqref="D30">
    <cfRule type="containsText" dxfId="184" priority="22" operator="containsText" text="R">
      <formula>NOT(ISERROR(SEARCH("R",D30)))</formula>
    </cfRule>
    <cfRule type="containsText" dxfId="183" priority="23" operator="containsText" text="F">
      <formula>NOT(ISERROR(SEARCH("F",D30)))</formula>
    </cfRule>
  </conditionalFormatting>
  <conditionalFormatting sqref="D35">
    <cfRule type="expression" dxfId="182" priority="4">
      <formula>$D$16&lt;&gt;"R"</formula>
    </cfRule>
  </conditionalFormatting>
  <conditionalFormatting sqref="D35:D37">
    <cfRule type="containsText" dxfId="181" priority="2" operator="containsText" text="R">
      <formula>NOT(ISERROR(SEARCH("R",D35)))</formula>
    </cfRule>
    <cfRule type="containsText" dxfId="180" priority="3" operator="containsText" text="F">
      <formula>NOT(ISERROR(SEARCH("F",D35)))</formula>
    </cfRule>
  </conditionalFormatting>
  <conditionalFormatting sqref="D37">
    <cfRule type="containsText" dxfId="179" priority="31" operator="containsText" text="R">
      <formula>NOT(ISERROR(SEARCH("R",D37)))</formula>
    </cfRule>
    <cfRule type="containsText" dxfId="178" priority="32" operator="containsText" text="F">
      <formula>NOT(ISERROR(SEARCH("F",D37)))</formula>
    </cfRule>
  </conditionalFormatting>
  <dataValidations count="1">
    <dataValidation type="decimal" allowBlank="1" showInputMessage="1" showErrorMessage="1" sqref="C9:C11 C44:D46 E45:E46 F46 G45 G44 F44 G43 F43 E44" xr:uid="{23B8C4CB-E82F-40B0-A1C7-AD207A6A9F51}">
      <formula1>0.00000000000000001</formula1>
      <formula2>1000</formula2>
    </dataValidation>
  </dataValidations>
  <pageMargins left="0.7" right="0.7" top="0.75" bottom="0.75" header="0.3" footer="0.3"/>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EE722-DEDC-41CE-8541-B7D187E4572A}">
  <sheetPr codeName="Sheet15">
    <tabColor theme="2" tint="-0.249977111117893"/>
  </sheetPr>
  <dimension ref="B1:AH51"/>
  <sheetViews>
    <sheetView showGridLines="0" zoomScale="265" zoomScaleNormal="265" workbookViewId="0"/>
  </sheetViews>
  <sheetFormatPr defaultRowHeight="15" x14ac:dyDescent="0.25"/>
  <cols>
    <col min="2" max="2" width="20.85546875" customWidth="1"/>
    <col min="3" max="3" width="16" style="28" customWidth="1"/>
    <col min="4" max="4" width="20.85546875" style="28" customWidth="1"/>
    <col min="5" max="5" width="9.5703125" customWidth="1"/>
    <col min="6" max="6" width="18.140625" customWidth="1"/>
    <col min="7" max="7" width="14" customWidth="1"/>
    <col min="8" max="8" width="8.85546875" customWidth="1"/>
    <col min="9" max="9" width="16.140625" customWidth="1"/>
  </cols>
  <sheetData>
    <row r="1" spans="2:34" x14ac:dyDescent="0.25">
      <c r="AA1" s="437"/>
      <c r="AB1" s="437"/>
      <c r="AC1" s="437"/>
      <c r="AD1" s="437"/>
      <c r="AE1" s="437"/>
      <c r="AF1" s="437"/>
      <c r="AG1" s="437"/>
      <c r="AH1" s="437"/>
    </row>
    <row r="2" spans="2:34" ht="36.75" thickBot="1" x14ac:dyDescent="0.6">
      <c r="B2" s="125" t="s">
        <v>1065</v>
      </c>
      <c r="C2" s="126"/>
      <c r="D2" s="126"/>
      <c r="E2" s="127"/>
      <c r="F2" s="127"/>
      <c r="G2" s="127"/>
      <c r="H2" s="127"/>
      <c r="I2" s="128"/>
      <c r="AA2" s="437"/>
      <c r="AB2" s="437"/>
      <c r="AC2" s="437"/>
      <c r="AD2" s="437"/>
      <c r="AE2" s="437"/>
      <c r="AF2" s="437"/>
      <c r="AG2" s="437"/>
      <c r="AH2" s="437"/>
    </row>
    <row r="3" spans="2:34" x14ac:dyDescent="0.25">
      <c r="B3" s="78"/>
      <c r="C3" s="92"/>
      <c r="D3" s="92"/>
      <c r="E3" s="79"/>
      <c r="F3" s="79"/>
      <c r="G3" s="79"/>
      <c r="H3" s="79"/>
      <c r="I3" s="80"/>
      <c r="AA3" s="437"/>
      <c r="AB3" s="437"/>
      <c r="AC3" s="437"/>
      <c r="AD3" s="437"/>
      <c r="AE3" s="437"/>
      <c r="AF3" s="437"/>
      <c r="AG3" s="437"/>
      <c r="AH3" s="437"/>
    </row>
    <row r="4" spans="2:34" ht="27" thickBot="1" x14ac:dyDescent="0.45">
      <c r="B4" s="294" t="s">
        <v>595</v>
      </c>
      <c r="C4" s="295"/>
      <c r="D4" s="296"/>
      <c r="E4" s="284"/>
      <c r="F4" s="284"/>
      <c r="G4" s="284"/>
      <c r="H4" s="285"/>
      <c r="I4" s="80"/>
      <c r="AA4" s="437"/>
      <c r="AB4" s="4"/>
      <c r="AC4" s="4"/>
      <c r="AD4" s="4"/>
      <c r="AE4" s="437"/>
      <c r="AF4" s="437"/>
      <c r="AG4" s="437"/>
      <c r="AH4" s="437"/>
    </row>
    <row r="5" spans="2:34" ht="15.75" x14ac:dyDescent="0.25">
      <c r="B5" s="355" t="s">
        <v>155</v>
      </c>
      <c r="C5" s="356" t="s">
        <v>514</v>
      </c>
      <c r="D5" s="356" t="s">
        <v>520</v>
      </c>
      <c r="E5" s="356" t="s">
        <v>123</v>
      </c>
      <c r="F5" s="356" t="s">
        <v>521</v>
      </c>
      <c r="G5" s="356" t="s">
        <v>515</v>
      </c>
      <c r="H5" s="356" t="s">
        <v>123</v>
      </c>
      <c r="I5" s="80"/>
      <c r="Y5" s="3"/>
      <c r="Z5" s="3"/>
      <c r="AA5" s="3"/>
      <c r="AB5" s="3"/>
      <c r="AC5" s="3"/>
      <c r="AD5" s="3"/>
      <c r="AE5" s="3"/>
      <c r="AF5" s="437"/>
      <c r="AG5" s="437"/>
      <c r="AH5" s="437"/>
    </row>
    <row r="6" spans="2:34" ht="18.75" x14ac:dyDescent="0.3">
      <c r="B6" s="280" t="s">
        <v>516</v>
      </c>
      <c r="C6" s="29" t="s">
        <v>522</v>
      </c>
      <c r="D6" s="29"/>
      <c r="E6" s="265" t="str">
        <f>IF(AND(OR(C6=AA6,C6=AB6),D6=AC6),"Rigtig",IF(D6=AD6,"se kommentar",IF(OR(C6="",D6=""),"","Forkert")))</f>
        <v/>
      </c>
      <c r="F6" s="31"/>
      <c r="G6" s="29"/>
      <c r="H6" s="265" t="str">
        <f>IF(AND(F6=AE6,OR(G6=AF6,G6=AG6,G6=AH6,G6="+"&amp;AF6)),"Rigtig",IF(OR(F6="",G6=""),"","Forkert"))</f>
        <v/>
      </c>
      <c r="I6" s="80"/>
      <c r="Y6" s="3"/>
      <c r="Z6" s="3"/>
      <c r="AA6" s="470" t="s">
        <v>522</v>
      </c>
      <c r="AB6" s="469" t="s">
        <v>534</v>
      </c>
      <c r="AC6" s="470" t="s">
        <v>529</v>
      </c>
      <c r="AD6" s="470" t="s">
        <v>523</v>
      </c>
      <c r="AE6" s="3">
        <v>0</v>
      </c>
      <c r="AF6" s="437" t="s">
        <v>490</v>
      </c>
      <c r="AG6" s="438" t="s">
        <v>535</v>
      </c>
      <c r="AH6" s="438" t="s">
        <v>541</v>
      </c>
    </row>
    <row r="7" spans="2:34" ht="18.75" x14ac:dyDescent="0.3">
      <c r="B7" s="280" t="s">
        <v>517</v>
      </c>
      <c r="C7" s="357" t="s">
        <v>1012</v>
      </c>
      <c r="D7" s="358" t="s">
        <v>1012</v>
      </c>
      <c r="E7" s="359" t="s">
        <v>1012</v>
      </c>
      <c r="F7" s="31"/>
      <c r="G7" s="29"/>
      <c r="H7" s="265" t="str">
        <f>IF(AND(F7=AE7,OR(G7=AF7,G7=AG7,G7=AH7,G7="+"&amp;AF7)),"Rigtig",IF(OR(F7="",G7=""),"","Forkert"))</f>
        <v/>
      </c>
      <c r="I7" s="80"/>
      <c r="Y7" s="3"/>
      <c r="Z7" s="3"/>
      <c r="AA7" s="470" t="s">
        <v>522</v>
      </c>
      <c r="AB7" s="469" t="s">
        <v>534</v>
      </c>
      <c r="AC7" s="469" t="s">
        <v>530</v>
      </c>
      <c r="AD7" s="3"/>
      <c r="AE7" s="471">
        <v>2</v>
      </c>
      <c r="AF7" s="437" t="s">
        <v>489</v>
      </c>
      <c r="AG7" s="438" t="s">
        <v>533</v>
      </c>
      <c r="AH7" s="438" t="s">
        <v>524</v>
      </c>
    </row>
    <row r="8" spans="2:34" ht="18.75" x14ac:dyDescent="0.3">
      <c r="B8" s="280" t="s">
        <v>518</v>
      </c>
      <c r="C8" s="29" t="s">
        <v>522</v>
      </c>
      <c r="D8" s="12"/>
      <c r="E8" s="265" t="str">
        <f>IF(AND(OR(C8=AA8,C8=AB8),OR(D8=AC8,D8=AD8)),"Rigtig",IF(OR(C8="",D8=""),"","Forkert"))</f>
        <v/>
      </c>
      <c r="F8" s="31"/>
      <c r="G8" s="29"/>
      <c r="H8" s="265" t="str">
        <f>IF(AND(F8=AE8,OR(G8=AF8,G8=AG8,G8=AH8,G8="+"&amp;AF8)),"Rigtig",IF(OR(F8="",G8=""),"","Forkert"))</f>
        <v/>
      </c>
      <c r="I8" s="80"/>
      <c r="Y8" s="3"/>
      <c r="Z8" s="3"/>
      <c r="AA8" s="470" t="s">
        <v>522</v>
      </c>
      <c r="AB8" s="469" t="s">
        <v>534</v>
      </c>
      <c r="AC8" s="469" t="s">
        <v>531</v>
      </c>
      <c r="AD8" s="470" t="s">
        <v>525</v>
      </c>
      <c r="AE8" s="3">
        <v>-2</v>
      </c>
      <c r="AF8" s="437" t="s">
        <v>494</v>
      </c>
      <c r="AG8" s="438" t="s">
        <v>540</v>
      </c>
      <c r="AH8" s="438" t="s">
        <v>545</v>
      </c>
    </row>
    <row r="9" spans="2:34" ht="18.75" x14ac:dyDescent="0.3">
      <c r="B9" s="280" t="s">
        <v>526</v>
      </c>
      <c r="C9" s="29" t="s">
        <v>522</v>
      </c>
      <c r="D9" s="12"/>
      <c r="E9" s="265" t="str">
        <f>IF(AND(OR(C9=AA9,C9=AB9),OR(D9=AC9,D9=AD9)),"Rigtig",IF(OR(C9="",D9=""),"","Forkert"))</f>
        <v/>
      </c>
      <c r="F9" s="31"/>
      <c r="G9" s="29"/>
      <c r="H9" s="265" t="str">
        <f>IF(AND(F9=AE9,OR(G9=AF9,G9=AG9,G9=AH9,G9="+"&amp;AF9)),"Rigtig",IF(OR(F9="",G9=""),"","Forkert"))</f>
        <v/>
      </c>
      <c r="I9" s="80"/>
      <c r="Y9" s="3"/>
      <c r="Z9" s="3"/>
      <c r="AA9" s="470" t="s">
        <v>522</v>
      </c>
      <c r="AB9" s="469" t="s">
        <v>534</v>
      </c>
      <c r="AC9" s="469" t="s">
        <v>532</v>
      </c>
      <c r="AD9" s="470" t="s">
        <v>527</v>
      </c>
      <c r="AE9" s="3">
        <v>0</v>
      </c>
      <c r="AF9" s="437" t="s">
        <v>505</v>
      </c>
      <c r="AG9" s="438" t="s">
        <v>547</v>
      </c>
      <c r="AH9" s="438" t="s">
        <v>528</v>
      </c>
    </row>
    <row r="10" spans="2:34" ht="18.75" x14ac:dyDescent="0.3">
      <c r="B10" s="280" t="s">
        <v>519</v>
      </c>
      <c r="C10" s="29" t="s">
        <v>522</v>
      </c>
      <c r="D10" s="12"/>
      <c r="E10" s="265" t="str">
        <f>IF(AND(OR(C10=AA10,C10=AB10),OR(D10=AC10,D10=AD10)),"Rigtig",IF(OR(C10="",D10=""),"","Forkert"))</f>
        <v/>
      </c>
      <c r="F10" s="31"/>
      <c r="G10" s="29"/>
      <c r="H10" s="265" t="str">
        <f>IF(AND(F10=AE10,OR(G10=AF10,G10=AG10,G10=AH10,G10="+"&amp;AF10)),"Rigtig",IF(OR(F10="",G10=""),"","Forkert"))</f>
        <v/>
      </c>
      <c r="I10" s="80"/>
      <c r="Y10" s="3"/>
      <c r="Z10" s="3"/>
      <c r="AA10" s="470" t="s">
        <v>522</v>
      </c>
      <c r="AB10" s="469" t="s">
        <v>534</v>
      </c>
      <c r="AC10" s="469" t="s">
        <v>531</v>
      </c>
      <c r="AD10" s="470" t="s">
        <v>525</v>
      </c>
      <c r="AE10" s="3">
        <v>-1</v>
      </c>
      <c r="AF10" s="437" t="s">
        <v>505</v>
      </c>
      <c r="AG10" s="438" t="s">
        <v>547</v>
      </c>
      <c r="AH10" s="438" t="s">
        <v>528</v>
      </c>
    </row>
    <row r="11" spans="2:34" x14ac:dyDescent="0.25">
      <c r="B11" s="78"/>
      <c r="C11" s="129" t="str">
        <f>IF(OR(C6=AB6,C8=AB8), "Brug evt. romertal, når du angiver et enkelt atoms OT","")</f>
        <v/>
      </c>
      <c r="D11" s="92"/>
      <c r="E11" s="79"/>
      <c r="F11" s="79"/>
      <c r="G11" s="79"/>
      <c r="H11" s="79" t="str">
        <f>IF(OR(G6=AG6,G6=AH6,G7=AG7,G7=AH7),"Brug evt romertal, når du angiver et enkelt atoms OT","")</f>
        <v/>
      </c>
      <c r="I11" s="80"/>
      <c r="Y11" s="3"/>
      <c r="Z11" s="3"/>
      <c r="AA11" s="3"/>
      <c r="AB11" s="3"/>
      <c r="AC11" s="3"/>
      <c r="AD11" s="3"/>
      <c r="AE11" s="3"/>
      <c r="AF11" s="437"/>
      <c r="AG11" s="437"/>
      <c r="AH11" s="437"/>
    </row>
    <row r="12" spans="2:34" x14ac:dyDescent="0.25">
      <c r="B12" s="78"/>
      <c r="C12" s="79" t="str">
        <f>IF(OR(D6=AD6,D8=AD8,D9=AD9,D10=AD10),"Hm ok - men når du angiver det samlede bidrag fra oxygen - skal du ikke bruge romertal","")</f>
        <v/>
      </c>
      <c r="D12" s="92"/>
      <c r="F12" s="79"/>
      <c r="G12" s="79"/>
      <c r="H12" s="79" t="str">
        <f>IF(OR(G6=AF6,G7=AF7,G8=AF8,G9=AF9,G10=AF10),"Skriv helst + foran dit oxidationstal","")</f>
        <v/>
      </c>
      <c r="I12" s="80"/>
      <c r="Y12" s="3"/>
      <c r="Z12" s="3"/>
      <c r="AA12" s="3"/>
      <c r="AB12" s="3"/>
      <c r="AC12" s="3"/>
      <c r="AD12" s="3"/>
      <c r="AE12" s="3"/>
      <c r="AF12" s="437"/>
      <c r="AG12" s="437"/>
      <c r="AH12" s="437"/>
    </row>
    <row r="13" spans="2:34" x14ac:dyDescent="0.25">
      <c r="B13" s="78"/>
      <c r="C13" s="92"/>
      <c r="D13" s="92"/>
      <c r="E13" s="79"/>
      <c r="F13" s="79"/>
      <c r="G13" s="79"/>
      <c r="H13" s="79"/>
      <c r="I13" s="80"/>
      <c r="Y13" s="3"/>
      <c r="Z13" s="3"/>
      <c r="AA13" s="3"/>
      <c r="AB13" s="3"/>
      <c r="AC13" s="3"/>
      <c r="AD13" s="3"/>
      <c r="AE13" s="3"/>
      <c r="AF13" s="437"/>
      <c r="AG13" s="437"/>
      <c r="AH13" s="437"/>
    </row>
    <row r="14" spans="2:34" ht="27" thickBot="1" x14ac:dyDescent="0.45">
      <c r="B14" s="294" t="s">
        <v>596</v>
      </c>
      <c r="C14" s="295"/>
      <c r="D14" s="296"/>
      <c r="E14" s="79"/>
      <c r="F14" s="79"/>
      <c r="G14" s="79"/>
      <c r="H14" s="79"/>
      <c r="I14" s="80"/>
      <c r="Y14" s="3"/>
      <c r="Z14" s="3"/>
      <c r="AA14" s="3"/>
      <c r="AB14" s="3"/>
      <c r="AC14" s="3"/>
      <c r="AD14" s="3"/>
      <c r="AE14" s="3"/>
      <c r="AF14" s="437"/>
      <c r="AG14" s="437"/>
      <c r="AH14" s="437"/>
    </row>
    <row r="15" spans="2:34" ht="18.75" x14ac:dyDescent="0.3">
      <c r="B15" s="297" t="s">
        <v>155</v>
      </c>
      <c r="C15" s="280" t="s">
        <v>548</v>
      </c>
      <c r="D15" s="280" t="s">
        <v>123</v>
      </c>
      <c r="E15" s="79"/>
      <c r="F15" s="79"/>
      <c r="G15" s="79"/>
      <c r="H15" s="79"/>
      <c r="I15" s="80"/>
      <c r="AA15" s="437"/>
      <c r="AB15" s="437"/>
      <c r="AC15" s="437"/>
      <c r="AD15" s="437"/>
      <c r="AE15" s="437"/>
      <c r="AF15" s="437"/>
      <c r="AG15" s="437"/>
      <c r="AH15" s="437"/>
    </row>
    <row r="16" spans="2:34" ht="18.75" x14ac:dyDescent="0.3">
      <c r="B16" s="280" t="s">
        <v>487</v>
      </c>
      <c r="C16" s="29"/>
      <c r="D16" s="265" t="str">
        <f t="shared" ref="D16:D23" si="0">IF(C16="","",IF(OR(C16=AA16,C16=AB16,C16=AC16,C16="+"&amp;AA16),"Rigtig","Forkert"))</f>
        <v/>
      </c>
      <c r="E16" s="79"/>
      <c r="F16" s="79"/>
      <c r="G16" s="79"/>
      <c r="H16" s="79"/>
      <c r="I16" s="80"/>
      <c r="AA16" s="458" t="s">
        <v>489</v>
      </c>
      <c r="AB16" s="458" t="s">
        <v>533</v>
      </c>
      <c r="AC16" s="458" t="s">
        <v>524</v>
      </c>
      <c r="AD16" s="438"/>
      <c r="AE16" s="437"/>
      <c r="AF16" s="437"/>
      <c r="AG16" s="437"/>
      <c r="AH16" s="437"/>
    </row>
    <row r="17" spans="2:34" ht="18.75" x14ac:dyDescent="0.3">
      <c r="B17" s="280" t="s">
        <v>206</v>
      </c>
      <c r="C17" s="29"/>
      <c r="D17" s="265" t="str">
        <f t="shared" si="0"/>
        <v/>
      </c>
      <c r="E17" s="79"/>
      <c r="F17" s="79"/>
      <c r="G17" s="79"/>
      <c r="H17" s="79"/>
      <c r="I17" s="80"/>
      <c r="AA17" s="458" t="s">
        <v>490</v>
      </c>
      <c r="AB17" s="458" t="s">
        <v>535</v>
      </c>
      <c r="AC17" s="458" t="s">
        <v>541</v>
      </c>
      <c r="AD17" s="437"/>
      <c r="AE17" s="437"/>
      <c r="AF17" s="437"/>
      <c r="AG17" s="437"/>
      <c r="AH17" s="437"/>
    </row>
    <row r="18" spans="2:34" ht="18.75" x14ac:dyDescent="0.3">
      <c r="B18" s="280" t="s">
        <v>222</v>
      </c>
      <c r="C18" s="29"/>
      <c r="D18" s="265" t="str">
        <f t="shared" si="0"/>
        <v/>
      </c>
      <c r="E18" s="79"/>
      <c r="F18" s="79"/>
      <c r="G18" s="79"/>
      <c r="H18" s="79"/>
      <c r="I18" s="80"/>
      <c r="AA18" s="458" t="s">
        <v>491</v>
      </c>
      <c r="AB18" s="458" t="s">
        <v>536</v>
      </c>
      <c r="AC18" s="458" t="s">
        <v>542</v>
      </c>
      <c r="AD18" s="437"/>
      <c r="AE18" s="437"/>
      <c r="AF18" s="437"/>
      <c r="AG18" s="437"/>
      <c r="AH18" s="437"/>
    </row>
    <row r="19" spans="2:34" ht="18.75" x14ac:dyDescent="0.3">
      <c r="B19" s="280" t="s">
        <v>488</v>
      </c>
      <c r="C19" s="29"/>
      <c r="D19" s="265" t="str">
        <f t="shared" si="0"/>
        <v/>
      </c>
      <c r="E19" s="79"/>
      <c r="F19" s="79"/>
      <c r="G19" s="79"/>
      <c r="H19" s="79"/>
      <c r="I19" s="80"/>
      <c r="AA19" s="458" t="s">
        <v>492</v>
      </c>
      <c r="AB19" s="458" t="s">
        <v>537</v>
      </c>
      <c r="AC19" s="458" t="s">
        <v>543</v>
      </c>
      <c r="AD19" s="437"/>
      <c r="AE19" s="437"/>
      <c r="AF19" s="437"/>
      <c r="AG19" s="437"/>
      <c r="AH19" s="437"/>
    </row>
    <row r="20" spans="2:34" ht="18.75" x14ac:dyDescent="0.3">
      <c r="B20" s="280" t="s">
        <v>121</v>
      </c>
      <c r="C20" s="29"/>
      <c r="D20" s="265" t="str">
        <f t="shared" si="0"/>
        <v/>
      </c>
      <c r="E20" s="79"/>
      <c r="F20" s="79"/>
      <c r="G20" s="79"/>
      <c r="H20" s="79"/>
      <c r="I20" s="80"/>
      <c r="AA20" s="458" t="s">
        <v>493</v>
      </c>
      <c r="AB20" s="458" t="s">
        <v>538</v>
      </c>
      <c r="AC20" s="458" t="s">
        <v>544</v>
      </c>
      <c r="AD20" s="437"/>
      <c r="AE20" s="437"/>
      <c r="AF20" s="437"/>
      <c r="AG20" s="437"/>
      <c r="AH20" s="437"/>
    </row>
    <row r="21" spans="2:34" ht="18.75" x14ac:dyDescent="0.3">
      <c r="B21" s="280" t="s">
        <v>506</v>
      </c>
      <c r="C21" s="29"/>
      <c r="D21" s="265" t="str">
        <f t="shared" si="0"/>
        <v/>
      </c>
      <c r="E21" s="79"/>
      <c r="F21" s="79"/>
      <c r="G21" s="79"/>
      <c r="H21" s="79"/>
      <c r="I21" s="80"/>
      <c r="AA21" s="458" t="s">
        <v>507</v>
      </c>
      <c r="AB21" s="458" t="s">
        <v>539</v>
      </c>
      <c r="AC21" s="458" t="s">
        <v>539</v>
      </c>
      <c r="AD21" s="437"/>
      <c r="AE21" s="437"/>
      <c r="AF21" s="437"/>
      <c r="AG21" s="437"/>
      <c r="AH21" s="437"/>
    </row>
    <row r="22" spans="2:34" ht="18.75" x14ac:dyDescent="0.3">
      <c r="B22" s="280" t="s">
        <v>159</v>
      </c>
      <c r="C22" s="29"/>
      <c r="D22" s="265" t="str">
        <f t="shared" si="0"/>
        <v/>
      </c>
      <c r="E22" s="79"/>
      <c r="F22" s="79"/>
      <c r="G22" s="79"/>
      <c r="H22" s="79"/>
      <c r="I22" s="80"/>
      <c r="AA22" s="458" t="s">
        <v>491</v>
      </c>
      <c r="AB22" s="458" t="s">
        <v>536</v>
      </c>
      <c r="AC22" s="458" t="s">
        <v>542</v>
      </c>
      <c r="AD22" s="437"/>
      <c r="AE22" s="437"/>
      <c r="AF22" s="437"/>
      <c r="AG22" s="437"/>
      <c r="AH22" s="437"/>
    </row>
    <row r="23" spans="2:34" ht="19.5" thickBot="1" x14ac:dyDescent="0.35">
      <c r="B23" s="299" t="s">
        <v>120</v>
      </c>
      <c r="C23" s="30"/>
      <c r="D23" s="265" t="str">
        <f t="shared" si="0"/>
        <v/>
      </c>
      <c r="E23" s="79"/>
      <c r="F23" s="79"/>
      <c r="G23" s="79"/>
      <c r="H23" s="79"/>
      <c r="I23" s="80"/>
      <c r="AA23" s="458" t="s">
        <v>491</v>
      </c>
      <c r="AB23" s="458" t="s">
        <v>536</v>
      </c>
      <c r="AC23" s="458" t="s">
        <v>542</v>
      </c>
      <c r="AD23" s="437"/>
      <c r="AE23" s="437"/>
      <c r="AF23" s="437"/>
      <c r="AG23" s="437"/>
      <c r="AH23" s="437"/>
    </row>
    <row r="24" spans="2:34" x14ac:dyDescent="0.25">
      <c r="B24" s="78"/>
      <c r="C24" s="92"/>
      <c r="D24" s="92"/>
      <c r="E24" s="79"/>
      <c r="F24" s="79"/>
      <c r="G24" s="79"/>
      <c r="H24" s="79"/>
      <c r="I24" s="80"/>
      <c r="AA24" s="438"/>
      <c r="AB24" s="438"/>
      <c r="AC24" s="438"/>
      <c r="AD24" s="437"/>
      <c r="AE24" s="437"/>
      <c r="AF24" s="437"/>
      <c r="AG24" s="437"/>
      <c r="AH24" s="437"/>
    </row>
    <row r="25" spans="2:34" x14ac:dyDescent="0.25">
      <c r="B25" s="78"/>
      <c r="C25" s="92"/>
      <c r="D25" s="92"/>
      <c r="E25" s="79"/>
      <c r="F25" s="79"/>
      <c r="G25" s="79"/>
      <c r="H25" s="79"/>
      <c r="I25" s="80"/>
      <c r="AA25" s="438"/>
      <c r="AB25" s="438"/>
      <c r="AC25" s="438"/>
      <c r="AD25" s="437"/>
      <c r="AE25" s="437"/>
      <c r="AF25" s="437"/>
      <c r="AG25" s="437"/>
      <c r="AH25" s="437"/>
    </row>
    <row r="26" spans="2:34" ht="27" thickBot="1" x14ac:dyDescent="0.45">
      <c r="B26" s="294" t="s">
        <v>597</v>
      </c>
      <c r="C26" s="295"/>
      <c r="D26" s="296"/>
      <c r="E26" s="79"/>
      <c r="F26" s="79"/>
      <c r="G26" s="79"/>
      <c r="H26" s="79"/>
      <c r="I26" s="80"/>
      <c r="AA26" s="438"/>
      <c r="AB26" s="438"/>
      <c r="AC26" s="438"/>
      <c r="AD26" s="437"/>
      <c r="AE26" s="437"/>
      <c r="AF26" s="437"/>
      <c r="AG26" s="437"/>
      <c r="AH26" s="437"/>
    </row>
    <row r="27" spans="2:34" ht="18.75" x14ac:dyDescent="0.3">
      <c r="B27" s="297" t="s">
        <v>155</v>
      </c>
      <c r="C27" s="280" t="s">
        <v>549</v>
      </c>
      <c r="D27" s="280" t="s">
        <v>123</v>
      </c>
      <c r="E27" s="79"/>
      <c r="F27" s="79"/>
      <c r="G27" s="79"/>
      <c r="H27" s="79"/>
      <c r="I27" s="80"/>
      <c r="AA27" s="438"/>
      <c r="AB27" s="438"/>
      <c r="AC27" s="438"/>
      <c r="AD27" s="437"/>
      <c r="AE27" s="437"/>
      <c r="AF27" s="437"/>
      <c r="AG27" s="437"/>
      <c r="AH27" s="437"/>
    </row>
    <row r="28" spans="2:34" ht="18.75" x14ac:dyDescent="0.3">
      <c r="B28" s="280" t="s">
        <v>495</v>
      </c>
      <c r="C28" s="29"/>
      <c r="D28" s="265" t="str">
        <f t="shared" ref="D28:D32" si="1">IF(C28="","",IF(OR(C28=AA28,C28=AB28,C28=AC28,C28="+"&amp;AA28),"Rigtig","Forkert"))</f>
        <v/>
      </c>
      <c r="E28" s="79"/>
      <c r="F28" s="79"/>
      <c r="G28" s="79"/>
      <c r="H28" s="79"/>
      <c r="I28" s="80"/>
      <c r="AA28" s="438" t="s">
        <v>489</v>
      </c>
      <c r="AB28" s="438" t="s">
        <v>533</v>
      </c>
      <c r="AC28" s="438" t="s">
        <v>524</v>
      </c>
      <c r="AD28" s="437"/>
      <c r="AE28" s="437"/>
      <c r="AF28" s="437"/>
      <c r="AG28" s="437"/>
      <c r="AH28" s="437"/>
    </row>
    <row r="29" spans="2:34" ht="18.75" x14ac:dyDescent="0.3">
      <c r="B29" s="280" t="s">
        <v>31</v>
      </c>
      <c r="C29" s="29"/>
      <c r="D29" s="265" t="str">
        <f t="shared" si="1"/>
        <v/>
      </c>
      <c r="E29" s="79"/>
      <c r="F29" s="79"/>
      <c r="G29" s="79"/>
      <c r="H29" s="79"/>
      <c r="I29" s="80"/>
      <c r="AA29" s="438" t="s">
        <v>490</v>
      </c>
      <c r="AB29" s="438" t="s">
        <v>535</v>
      </c>
      <c r="AC29" s="438" t="s">
        <v>541</v>
      </c>
      <c r="AD29" s="437"/>
      <c r="AE29" s="437"/>
      <c r="AF29" s="437"/>
      <c r="AG29" s="437"/>
      <c r="AH29" s="437"/>
    </row>
    <row r="30" spans="2:34" ht="18.75" x14ac:dyDescent="0.3">
      <c r="B30" s="280" t="s">
        <v>496</v>
      </c>
      <c r="C30" s="29"/>
      <c r="D30" s="265" t="str">
        <f t="shared" si="1"/>
        <v/>
      </c>
      <c r="E30" s="79"/>
      <c r="F30" s="79"/>
      <c r="G30" s="79"/>
      <c r="H30" s="79"/>
      <c r="I30" s="80"/>
      <c r="AA30" s="438" t="s">
        <v>493</v>
      </c>
      <c r="AB30" s="438" t="s">
        <v>538</v>
      </c>
      <c r="AC30" s="438" t="s">
        <v>544</v>
      </c>
      <c r="AD30" s="437"/>
      <c r="AE30" s="437"/>
      <c r="AF30" s="437"/>
      <c r="AG30" s="437"/>
      <c r="AH30" s="437"/>
    </row>
    <row r="31" spans="2:34" ht="18.75" x14ac:dyDescent="0.3">
      <c r="B31" s="280" t="s">
        <v>158</v>
      </c>
      <c r="C31" s="29"/>
      <c r="D31" s="265" t="str">
        <f t="shared" si="1"/>
        <v/>
      </c>
      <c r="E31" s="79"/>
      <c r="F31" s="79"/>
      <c r="G31" s="79"/>
      <c r="H31" s="79"/>
      <c r="I31" s="80"/>
      <c r="AA31" s="438" t="s">
        <v>490</v>
      </c>
      <c r="AB31" s="438" t="s">
        <v>535</v>
      </c>
      <c r="AC31" s="438" t="s">
        <v>541</v>
      </c>
      <c r="AD31" s="437"/>
      <c r="AE31" s="437"/>
      <c r="AF31" s="437"/>
      <c r="AG31" s="437"/>
      <c r="AH31" s="437"/>
    </row>
    <row r="32" spans="2:34" ht="18.75" x14ac:dyDescent="0.3">
      <c r="B32" s="280" t="s">
        <v>497</v>
      </c>
      <c r="C32" s="29"/>
      <c r="D32" s="265" t="str">
        <f t="shared" si="1"/>
        <v/>
      </c>
      <c r="E32" s="79"/>
      <c r="F32" s="79"/>
      <c r="G32" s="79"/>
      <c r="H32" s="79"/>
      <c r="I32" s="80"/>
      <c r="AA32" s="438" t="s">
        <v>490</v>
      </c>
      <c r="AB32" s="438" t="s">
        <v>535</v>
      </c>
      <c r="AC32" s="438" t="s">
        <v>541</v>
      </c>
      <c r="AD32" s="437"/>
      <c r="AE32" s="437"/>
      <c r="AF32" s="437"/>
      <c r="AG32" s="437"/>
      <c r="AH32" s="437"/>
    </row>
    <row r="33" spans="2:34" x14ac:dyDescent="0.25">
      <c r="I33" s="18"/>
      <c r="AA33" s="437"/>
      <c r="AB33" s="437"/>
      <c r="AC33" s="437"/>
      <c r="AD33" s="437"/>
      <c r="AE33" s="437"/>
      <c r="AF33" s="437"/>
      <c r="AG33" s="437"/>
      <c r="AH33" s="437"/>
    </row>
    <row r="34" spans="2:34" x14ac:dyDescent="0.25">
      <c r="I34" s="18"/>
      <c r="AA34" s="437"/>
      <c r="AB34" s="437"/>
      <c r="AC34" s="437"/>
      <c r="AD34" s="437"/>
      <c r="AE34" s="437"/>
      <c r="AF34" s="437"/>
      <c r="AG34" s="437"/>
      <c r="AH34" s="437"/>
    </row>
    <row r="35" spans="2:34" ht="27" thickBot="1" x14ac:dyDescent="0.45">
      <c r="B35" s="294" t="s">
        <v>598</v>
      </c>
      <c r="C35" s="295"/>
      <c r="D35" s="296"/>
      <c r="E35" s="79"/>
      <c r="F35" s="79"/>
      <c r="G35" s="79"/>
      <c r="H35" s="79"/>
      <c r="I35" s="80"/>
      <c r="AA35" s="438"/>
      <c r="AB35" s="438"/>
      <c r="AC35" s="438"/>
      <c r="AD35" s="437"/>
      <c r="AE35" s="437"/>
      <c r="AF35" s="437"/>
      <c r="AG35" s="437"/>
      <c r="AH35" s="437"/>
    </row>
    <row r="36" spans="2:34" ht="18.75" x14ac:dyDescent="0.3">
      <c r="B36" s="297" t="s">
        <v>155</v>
      </c>
      <c r="C36" s="280" t="s">
        <v>550</v>
      </c>
      <c r="D36" s="280" t="s">
        <v>123</v>
      </c>
      <c r="E36" s="79"/>
      <c r="F36" s="79"/>
      <c r="G36" s="79"/>
      <c r="H36" s="79"/>
      <c r="I36" s="80"/>
      <c r="AA36" s="438"/>
      <c r="AB36" s="438"/>
      <c r="AC36" s="438"/>
      <c r="AD36" s="437"/>
      <c r="AE36" s="437"/>
      <c r="AF36" s="437"/>
      <c r="AG36" s="437"/>
      <c r="AH36" s="437"/>
    </row>
    <row r="37" spans="2:34" ht="18.75" x14ac:dyDescent="0.3">
      <c r="B37" s="280" t="s">
        <v>500</v>
      </c>
      <c r="C37" s="29"/>
      <c r="D37" s="265" t="str">
        <f t="shared" ref="D37:D43" si="2">IF(C37="","",IF(OR(C37=AA37,C37=AB37,C37=AC37,C37="+"&amp;AA37),"Rigtig","Forkert"))</f>
        <v/>
      </c>
      <c r="E37" s="79"/>
      <c r="F37" s="79"/>
      <c r="G37" s="79"/>
      <c r="H37" s="79"/>
      <c r="I37" s="80"/>
      <c r="Z37" s="3"/>
      <c r="AA37" s="438" t="s">
        <v>494</v>
      </c>
      <c r="AB37" s="438" t="s">
        <v>540</v>
      </c>
      <c r="AC37" s="438" t="s">
        <v>545</v>
      </c>
      <c r="AD37" s="437"/>
      <c r="AE37" s="437"/>
      <c r="AF37" s="437"/>
      <c r="AG37" s="437"/>
      <c r="AH37" s="437"/>
    </row>
    <row r="38" spans="2:34" ht="18.75" x14ac:dyDescent="0.3">
      <c r="B38" s="280" t="s">
        <v>501</v>
      </c>
      <c r="C38" s="29"/>
      <c r="D38" s="265" t="str">
        <f t="shared" si="2"/>
        <v/>
      </c>
      <c r="E38" s="79"/>
      <c r="F38" s="79"/>
      <c r="G38" s="79"/>
      <c r="H38" s="79"/>
      <c r="I38" s="80"/>
      <c r="Z38" s="3"/>
      <c r="AA38" s="438" t="s">
        <v>490</v>
      </c>
      <c r="AB38" s="438" t="s">
        <v>535</v>
      </c>
      <c r="AC38" s="438" t="s">
        <v>541</v>
      </c>
      <c r="AD38" s="437"/>
      <c r="AE38" s="437"/>
      <c r="AF38" s="437"/>
      <c r="AG38" s="437"/>
      <c r="AH38" s="437"/>
    </row>
    <row r="39" spans="2:34" ht="18.75" x14ac:dyDescent="0.3">
      <c r="B39" s="280" t="s">
        <v>157</v>
      </c>
      <c r="C39" s="29"/>
      <c r="D39" s="265" t="str">
        <f t="shared" si="2"/>
        <v/>
      </c>
      <c r="E39" s="79"/>
      <c r="F39" s="79"/>
      <c r="G39" s="79"/>
      <c r="H39" s="79"/>
      <c r="I39" s="80"/>
      <c r="Z39" s="3"/>
      <c r="AA39" s="438" t="s">
        <v>494</v>
      </c>
      <c r="AB39" s="438" t="s">
        <v>540</v>
      </c>
      <c r="AC39" s="438" t="s">
        <v>545</v>
      </c>
      <c r="AD39" s="437"/>
      <c r="AE39" s="437"/>
      <c r="AF39" s="437"/>
      <c r="AG39" s="437"/>
      <c r="AH39" s="437"/>
    </row>
    <row r="40" spans="2:34" ht="18.75" x14ac:dyDescent="0.3">
      <c r="B40" s="280" t="s">
        <v>502</v>
      </c>
      <c r="C40" s="29"/>
      <c r="D40" s="265" t="str">
        <f t="shared" si="2"/>
        <v/>
      </c>
      <c r="E40" s="79"/>
      <c r="F40" s="79"/>
      <c r="G40" s="79"/>
      <c r="H40" s="79"/>
      <c r="I40" s="80"/>
      <c r="Z40" s="3"/>
      <c r="AA40" s="438" t="s">
        <v>505</v>
      </c>
      <c r="AB40" s="438" t="s">
        <v>547</v>
      </c>
      <c r="AC40" s="438" t="s">
        <v>528</v>
      </c>
      <c r="AD40" s="437"/>
      <c r="AE40" s="437"/>
      <c r="AF40" s="437"/>
      <c r="AG40" s="437"/>
      <c r="AH40" s="437"/>
    </row>
    <row r="41" spans="2:34" ht="18.75" x14ac:dyDescent="0.3">
      <c r="B41" s="280" t="s">
        <v>202</v>
      </c>
      <c r="C41" s="29"/>
      <c r="D41" s="265" t="str">
        <f t="shared" si="2"/>
        <v/>
      </c>
      <c r="E41" s="79"/>
      <c r="F41" s="79"/>
      <c r="G41" s="79"/>
      <c r="H41" s="79"/>
      <c r="I41" s="80"/>
      <c r="Z41" s="3"/>
      <c r="AA41" s="438" t="s">
        <v>490</v>
      </c>
      <c r="AB41" s="438" t="s">
        <v>535</v>
      </c>
      <c r="AC41" s="438" t="s">
        <v>541</v>
      </c>
      <c r="AD41" s="437"/>
      <c r="AE41" s="437"/>
      <c r="AF41" s="437"/>
      <c r="AG41" s="437"/>
      <c r="AH41" s="437"/>
    </row>
    <row r="42" spans="2:34" ht="18.75" x14ac:dyDescent="0.3">
      <c r="B42" s="280" t="s">
        <v>503</v>
      </c>
      <c r="C42" s="29"/>
      <c r="D42" s="265" t="str">
        <f t="shared" si="2"/>
        <v/>
      </c>
      <c r="E42" s="79"/>
      <c r="F42" s="79"/>
      <c r="G42" s="79"/>
      <c r="H42" s="79"/>
      <c r="I42" s="80"/>
      <c r="Z42" s="3"/>
      <c r="AA42" s="438" t="s">
        <v>489</v>
      </c>
      <c r="AB42" s="438" t="s">
        <v>533</v>
      </c>
      <c r="AC42" s="438" t="s">
        <v>524</v>
      </c>
      <c r="AD42" s="437"/>
      <c r="AE42" s="437"/>
      <c r="AF42" s="437"/>
      <c r="AG42" s="437"/>
      <c r="AH42" s="437"/>
    </row>
    <row r="43" spans="2:34" ht="19.5" thickBot="1" x14ac:dyDescent="0.35">
      <c r="B43" s="299" t="s">
        <v>504</v>
      </c>
      <c r="C43" s="30"/>
      <c r="D43" s="265" t="str">
        <f t="shared" si="2"/>
        <v/>
      </c>
      <c r="E43" s="79"/>
      <c r="F43" s="79"/>
      <c r="G43" s="79"/>
      <c r="H43" s="79"/>
      <c r="I43" s="80"/>
      <c r="Z43" s="3"/>
      <c r="AA43" s="438" t="s">
        <v>530</v>
      </c>
      <c r="AB43" s="438" t="s">
        <v>530</v>
      </c>
      <c r="AC43" s="438" t="s">
        <v>546</v>
      </c>
      <c r="AD43" s="437"/>
      <c r="AE43" s="437"/>
      <c r="AF43" s="437"/>
      <c r="AG43" s="437"/>
      <c r="AH43" s="437"/>
    </row>
    <row r="44" spans="2:34" x14ac:dyDescent="0.25">
      <c r="B44" s="78"/>
      <c r="C44" s="92"/>
      <c r="D44" s="92"/>
      <c r="E44" s="79"/>
      <c r="F44" s="79"/>
      <c r="G44" s="79"/>
      <c r="H44" s="79"/>
      <c r="I44" s="80"/>
      <c r="W44" s="4"/>
      <c r="X44" s="4"/>
      <c r="Y44" s="4"/>
      <c r="Z44" s="3"/>
      <c r="AA44" s="438"/>
      <c r="AB44" s="438"/>
      <c r="AC44" s="438"/>
      <c r="AD44" s="437"/>
      <c r="AE44" s="437"/>
      <c r="AF44" s="437"/>
      <c r="AG44" s="437"/>
      <c r="AH44" s="437"/>
    </row>
    <row r="45" spans="2:34" ht="27" thickBot="1" x14ac:dyDescent="0.45">
      <c r="B45" s="294" t="s">
        <v>599</v>
      </c>
      <c r="C45" s="295"/>
      <c r="D45" s="296"/>
      <c r="E45" s="79"/>
      <c r="F45" s="79"/>
      <c r="H45" s="79"/>
      <c r="I45" s="80"/>
      <c r="W45" s="4"/>
      <c r="X45" s="4"/>
      <c r="Y45" s="4"/>
      <c r="Z45" s="3"/>
      <c r="AA45" s="438"/>
      <c r="AB45" s="438"/>
      <c r="AC45" s="438"/>
      <c r="AD45" s="437"/>
      <c r="AE45" s="437"/>
      <c r="AF45" s="437"/>
      <c r="AG45" s="437"/>
      <c r="AH45" s="437"/>
    </row>
    <row r="46" spans="2:34" ht="18.75" x14ac:dyDescent="0.3">
      <c r="B46" s="297" t="s">
        <v>155</v>
      </c>
      <c r="C46" s="280" t="s">
        <v>551</v>
      </c>
      <c r="D46" s="280" t="s">
        <v>123</v>
      </c>
      <c r="E46" s="79"/>
      <c r="F46" s="79"/>
      <c r="G46" s="79"/>
      <c r="H46" s="79"/>
      <c r="I46" s="80"/>
      <c r="W46" s="4"/>
      <c r="X46" s="4"/>
      <c r="Y46" s="4"/>
      <c r="Z46" s="3"/>
      <c r="AA46" s="438"/>
      <c r="AB46" s="438"/>
      <c r="AC46" s="438"/>
      <c r="AD46" s="437"/>
      <c r="AE46" s="437"/>
      <c r="AF46" s="437"/>
      <c r="AG46" s="437"/>
      <c r="AH46" s="437"/>
    </row>
    <row r="47" spans="2:34" ht="18.75" x14ac:dyDescent="0.3">
      <c r="B47" s="360" t="s">
        <v>509</v>
      </c>
      <c r="C47" s="29"/>
      <c r="D47" s="265" t="str">
        <f t="shared" ref="D47:D49" si="3">IF(C47="","",IF(OR(C47=AA47,C47=AB47,C47=AC47,C47="+"&amp;AA47),"Rigtig","Forkert"))</f>
        <v/>
      </c>
      <c r="E47" s="79" t="str">
        <f>IF(D47="Rigtig","ja - C-atomet i syregrupper har oxidationstrinnet III - pånær ved HCOOH","")</f>
        <v/>
      </c>
      <c r="F47" s="79"/>
      <c r="G47" s="79"/>
      <c r="H47" s="79"/>
      <c r="I47" s="80"/>
      <c r="W47" s="4"/>
      <c r="X47" s="4"/>
      <c r="Y47" s="4"/>
      <c r="Z47" s="3"/>
      <c r="AA47" s="438" t="s">
        <v>493</v>
      </c>
      <c r="AB47" s="437" t="str">
        <f>"3"</f>
        <v>3</v>
      </c>
      <c r="AC47" s="438" t="s">
        <v>544</v>
      </c>
      <c r="AD47" s="437"/>
      <c r="AE47" s="437"/>
      <c r="AF47" s="437"/>
      <c r="AG47" s="437"/>
      <c r="AH47" s="437"/>
    </row>
    <row r="48" spans="2:34" ht="18.75" x14ac:dyDescent="0.3">
      <c r="B48" s="360" t="s">
        <v>508</v>
      </c>
      <c r="C48" s="29"/>
      <c r="D48" s="265" t="str">
        <f t="shared" si="3"/>
        <v/>
      </c>
      <c r="E48" s="79" t="str">
        <f>IF(D48="Rigtig","ja - C-atomet i aldehyder har oxidationstrinnet I, pånær ved HCOH","")</f>
        <v/>
      </c>
      <c r="F48" s="79"/>
      <c r="G48" s="79"/>
      <c r="H48" s="79"/>
      <c r="I48" s="80"/>
      <c r="W48" s="4"/>
      <c r="X48" s="4"/>
      <c r="Y48" s="4"/>
      <c r="Z48" s="3"/>
      <c r="AA48" s="438" t="s">
        <v>492</v>
      </c>
      <c r="AB48" s="437" t="str">
        <f>"1"</f>
        <v>1</v>
      </c>
      <c r="AC48" s="438" t="s">
        <v>543</v>
      </c>
      <c r="AD48" s="437"/>
      <c r="AE48" s="437"/>
      <c r="AF48" s="437"/>
      <c r="AG48" s="437"/>
      <c r="AH48" s="437"/>
    </row>
    <row r="49" spans="2:34" ht="18.75" x14ac:dyDescent="0.3">
      <c r="B49" s="360" t="s">
        <v>1103</v>
      </c>
      <c r="C49" s="29"/>
      <c r="D49" s="265" t="str">
        <f t="shared" si="3"/>
        <v/>
      </c>
      <c r="E49" s="79" t="str">
        <f>IF(D49="Rigtig","ja - C-atomet i sekundære alkoholer har oxidationstrinnet 0","")</f>
        <v/>
      </c>
      <c r="F49" s="79"/>
      <c r="G49" s="79"/>
      <c r="H49" s="79"/>
      <c r="I49" s="80"/>
      <c r="W49" s="4"/>
      <c r="X49" s="4"/>
      <c r="Y49" s="4"/>
      <c r="Z49" s="3"/>
      <c r="AA49" s="437">
        <v>0</v>
      </c>
      <c r="AB49" s="438" t="s">
        <v>530</v>
      </c>
      <c r="AC49" s="437">
        <v>0</v>
      </c>
      <c r="AD49" s="437"/>
      <c r="AE49" s="437"/>
      <c r="AF49" s="437"/>
      <c r="AG49" s="437"/>
      <c r="AH49" s="437"/>
    </row>
    <row r="50" spans="2:34" ht="18.75" x14ac:dyDescent="0.3">
      <c r="B50" s="360" t="s">
        <v>512</v>
      </c>
      <c r="C50" s="29"/>
      <c r="D50" s="265" t="str">
        <f>IF(C50="","",IF(OR(C50=AA50,C50=AB50,C50=AC50,C50="+"&amp;AA50),"Rigtig","Forkert"))</f>
        <v/>
      </c>
      <c r="E50" s="79" t="str">
        <f>IF(D50="Rigtig","ja - C-atomet i ketoner har oxidationstrinnet II","")</f>
        <v/>
      </c>
      <c r="F50" s="79"/>
      <c r="G50" s="79"/>
      <c r="H50" s="79"/>
      <c r="I50" s="80"/>
      <c r="W50" s="4"/>
      <c r="X50" s="4"/>
      <c r="Y50" s="4"/>
      <c r="Z50" s="3"/>
      <c r="AA50" s="458" t="s">
        <v>489</v>
      </c>
      <c r="AB50" s="437" t="str">
        <f>"2"</f>
        <v>2</v>
      </c>
      <c r="AC50" s="438" t="s">
        <v>524</v>
      </c>
      <c r="AD50" s="437"/>
      <c r="AE50" s="437"/>
      <c r="AF50" s="437"/>
      <c r="AG50" s="437"/>
      <c r="AH50" s="437"/>
    </row>
    <row r="51" spans="2:34" ht="18.75" x14ac:dyDescent="0.3">
      <c r="B51" s="360" t="s">
        <v>510</v>
      </c>
      <c r="C51" s="29"/>
      <c r="D51" s="265" t="str">
        <f>IF(C51="","",IF(OR(C51=AA51,C51=AB51,C51=AC51,C51="+"&amp;AA51),"Rigtig","Forkert"))</f>
        <v/>
      </c>
      <c r="E51" s="79" t="str">
        <f>IF(D51="Rigtig","ja - C-atomet i primære alkoholer har oxidationstrinnet -I, pånær ved CH₃OH","")</f>
        <v/>
      </c>
      <c r="I51" s="18"/>
      <c r="W51" s="4"/>
      <c r="X51" s="4"/>
      <c r="Y51" s="4"/>
      <c r="Z51" s="3"/>
      <c r="AA51" s="458" t="s">
        <v>511</v>
      </c>
      <c r="AB51" s="437" t="str">
        <f>"-1"</f>
        <v>-1</v>
      </c>
      <c r="AC51" s="438" t="s">
        <v>513</v>
      </c>
      <c r="AD51" s="437"/>
      <c r="AE51" s="437"/>
      <c r="AF51" s="437"/>
      <c r="AG51" s="437"/>
      <c r="AH51" s="437"/>
    </row>
  </sheetData>
  <sheetProtection algorithmName="SHA-512" hashValue="DMPcXhCcDZ+QNkBzDdhNNeFVcHWIQTe4uFxuET6Hkg0rwn+nh18KzUOr0CrNt3kRYHht/ByKVDaQ14f4FGvlSw==" saltValue="JM9QArowAaO8UDLMG3Wxtg==" spinCount="100000" sheet="1" objects="1" scenarios="1" formatColumns="0" formatRows="0"/>
  <conditionalFormatting sqref="D16:D23 D47:D51">
    <cfRule type="containsText" dxfId="177" priority="35" operator="containsText" text="Rigtig">
      <formula>NOT(ISERROR(SEARCH("Rigtig",D16)))</formula>
    </cfRule>
    <cfRule type="containsText" dxfId="176" priority="36" operator="containsText" text="Forkert">
      <formula>NOT(ISERROR(SEARCH("Forkert",D16)))</formula>
    </cfRule>
  </conditionalFormatting>
  <conditionalFormatting sqref="D28:D32">
    <cfRule type="containsText" dxfId="175" priority="5" operator="containsText" text="Rigtig">
      <formula>NOT(ISERROR(SEARCH("Rigtig",D28)))</formula>
    </cfRule>
    <cfRule type="containsText" dxfId="174" priority="6" operator="containsText" text="Forkert">
      <formula>NOT(ISERROR(SEARCH("Forkert",D28)))</formula>
    </cfRule>
  </conditionalFormatting>
  <conditionalFormatting sqref="D37:D43">
    <cfRule type="containsText" dxfId="173" priority="3" operator="containsText" text="Rigtig">
      <formula>NOT(ISERROR(SEARCH("Rigtig",D37)))</formula>
    </cfRule>
    <cfRule type="containsText" dxfId="172" priority="4" operator="containsText" text="Forkert">
      <formula>NOT(ISERROR(SEARCH("Forkert",D37)))</formula>
    </cfRule>
  </conditionalFormatting>
  <conditionalFormatting sqref="E6:E10">
    <cfRule type="containsText" dxfId="171" priority="17" operator="containsText" text="Rigtig">
      <formula>NOT(ISERROR(SEARCH("Rigtig",E6)))</formula>
    </cfRule>
    <cfRule type="containsText" dxfId="170" priority="18" operator="containsText" text="Forkert">
      <formula>NOT(ISERROR(SEARCH("Forkert",E6)))</formula>
    </cfRule>
  </conditionalFormatting>
  <conditionalFormatting sqref="H6:H10">
    <cfRule type="containsText" dxfId="169" priority="13" operator="containsText" text="Rigtig">
      <formula>NOT(ISERROR(SEARCH("Rigtig",H6)))</formula>
    </cfRule>
    <cfRule type="containsText" dxfId="168" priority="14" operator="containsText" text="Forkert">
      <formula>NOT(ISERROR(SEARCH("Forkert",H6)))</formula>
    </cfRule>
  </conditionalFormatting>
  <dataValidations count="1">
    <dataValidation type="whole" allowBlank="1" showInputMessage="1" showErrorMessage="1" sqref="F6:F7 F9" xr:uid="{D2974ABA-AF4C-4987-871A-C69430F18825}">
      <formula1>-20</formula1>
      <formula2>20</formula2>
    </dataValidation>
  </dataValidations>
  <pageMargins left="0.7" right="0.7" top="0.75" bottom="0.75" header="0.3" footer="0.3"/>
  <pageSetup paperSize="9" orientation="portrait" verticalDpi="0"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0371-432F-4841-B946-83872117710D}">
  <sheetPr codeName="Sheet16">
    <tabColor theme="2" tint="-0.249977111117893"/>
  </sheetPr>
  <dimension ref="B1:AH154"/>
  <sheetViews>
    <sheetView showGridLines="0" zoomScale="145" zoomScaleNormal="145" workbookViewId="0"/>
  </sheetViews>
  <sheetFormatPr defaultRowHeight="15" x14ac:dyDescent="0.25"/>
  <cols>
    <col min="2" max="2" width="38.85546875" customWidth="1"/>
    <col min="3" max="3" width="17.5703125" style="28" customWidth="1"/>
    <col min="4" max="4" width="16.140625" style="28" customWidth="1"/>
    <col min="5" max="5" width="12.7109375" style="28" customWidth="1"/>
    <col min="6" max="6" width="14.28515625" style="28" customWidth="1"/>
    <col min="7" max="7" width="15" style="28" customWidth="1"/>
    <col min="8" max="8" width="12.7109375" style="28" customWidth="1"/>
    <col min="9" max="9" width="11.140625" style="28" customWidth="1"/>
    <col min="10" max="10" width="11.42578125" style="28" customWidth="1"/>
    <col min="11" max="11" width="9.140625" customWidth="1"/>
  </cols>
  <sheetData>
    <row r="1" spans="2:34" x14ac:dyDescent="0.25">
      <c r="AA1" s="437"/>
      <c r="AB1" s="437"/>
      <c r="AC1" s="437"/>
      <c r="AD1" s="437"/>
      <c r="AE1" s="437"/>
      <c r="AF1" s="437"/>
      <c r="AG1" s="437"/>
      <c r="AH1" s="437"/>
    </row>
    <row r="2" spans="2:34" ht="41.25" customHeight="1" thickBot="1" x14ac:dyDescent="0.55000000000000004">
      <c r="B2" s="361" t="s">
        <v>1067</v>
      </c>
      <c r="C2" s="436"/>
      <c r="D2" s="436"/>
      <c r="E2" s="436"/>
      <c r="F2" s="436"/>
      <c r="G2" s="436"/>
      <c r="H2" s="436"/>
      <c r="I2" s="436"/>
      <c r="J2" s="436"/>
      <c r="K2" s="347"/>
      <c r="AA2" s="437"/>
      <c r="AB2" s="437"/>
      <c r="AC2" s="437"/>
      <c r="AD2" s="437"/>
      <c r="AE2" s="437"/>
      <c r="AF2" s="437"/>
      <c r="AG2" s="437"/>
      <c r="AH2" s="437"/>
    </row>
    <row r="3" spans="2:34" x14ac:dyDescent="0.25">
      <c r="B3" s="78"/>
      <c r="C3" s="92"/>
      <c r="D3" s="92"/>
      <c r="E3" s="92"/>
      <c r="F3" s="92"/>
      <c r="G3" s="92"/>
      <c r="H3" s="92"/>
      <c r="I3" s="92"/>
      <c r="J3" s="412"/>
      <c r="K3" s="210"/>
      <c r="AA3" s="437"/>
      <c r="AB3" s="437"/>
      <c r="AC3" s="437"/>
      <c r="AD3" s="437"/>
      <c r="AE3" s="437"/>
      <c r="AF3" s="437"/>
      <c r="AG3" s="437"/>
      <c r="AH3" s="437"/>
    </row>
    <row r="4" spans="2:34" ht="28.5" x14ac:dyDescent="0.45">
      <c r="B4" s="89" t="s">
        <v>78</v>
      </c>
      <c r="C4" s="41" t="str">
        <f>IF(OR(TRIM(C6)=AA6,TRIM(C6)=AA5,TRIM(C6)="+"&amp;AA6,TRIM(C6)="+"&amp;AA5),"Rigtig",IF(TRIM(C6)="","","Forkert"))</f>
        <v/>
      </c>
      <c r="D4" s="41" t="str">
        <f>IF(OR(TRIM(D6)=AB6,TRIM(D6)=AB5,TRIM(D6)="+"&amp;AB6,TRIM(D6)="+"&amp;AB5),"Rigtig",IF(TRIM(D6)="","","Forkert"))</f>
        <v/>
      </c>
      <c r="E4" s="90"/>
      <c r="F4" s="90"/>
      <c r="G4" s="41" t="str">
        <f>IF(OR(TRIM(G6)=AE6,TRIM(G6)=AE5,TRIM(G6)="+"&amp;AE6,TRIM(G6)="+"&amp;AE5),"Rigtig",IF(TRIM(G6)="","","Forkert"))</f>
        <v/>
      </c>
      <c r="H4" s="41" t="str">
        <f>IF(OR(TRIM(H6)=AF6,TRIM(H6)=AF5,TRIM(H6)="+"&amp;AF6,TRIM(H6)="+"&amp;AF5),"Rigtig",IF(TRIM(H6)="","","Forkert"))</f>
        <v/>
      </c>
      <c r="I4" s="90"/>
      <c r="J4" s="90"/>
      <c r="K4" s="18"/>
      <c r="AA4" s="437" t="s">
        <v>555</v>
      </c>
      <c r="AB4" s="437" t="s">
        <v>556</v>
      </c>
      <c r="AC4" s="437"/>
      <c r="AD4" s="437"/>
      <c r="AE4" s="437"/>
      <c r="AF4" s="437"/>
      <c r="AG4" s="437"/>
      <c r="AH4" s="437"/>
    </row>
    <row r="5" spans="2:34" ht="18.75" x14ac:dyDescent="0.3">
      <c r="B5" s="120" t="s">
        <v>553</v>
      </c>
      <c r="C5" s="270" t="str">
        <f>"OT("&amp;AA4&amp;")"</f>
        <v>OT(Fe)</v>
      </c>
      <c r="D5" s="270" t="str">
        <f>"OT("&amp;AB4&amp;")"</f>
        <v>OT(Mn)</v>
      </c>
      <c r="E5" s="92"/>
      <c r="F5" s="92"/>
      <c r="G5" s="264" t="str">
        <f>"OT("&amp;AA4&amp;")"</f>
        <v>OT(Fe)</v>
      </c>
      <c r="H5" s="264" t="str">
        <f>"OT("&amp;AB4&amp;")"</f>
        <v>OT(Mn)</v>
      </c>
      <c r="I5" s="92"/>
      <c r="J5" s="92"/>
      <c r="K5" s="18"/>
      <c r="AA5" s="458" t="s">
        <v>533</v>
      </c>
      <c r="AB5" s="458" t="s">
        <v>547</v>
      </c>
      <c r="AC5" s="438"/>
      <c r="AD5" s="438"/>
      <c r="AE5" s="458" t="s">
        <v>538</v>
      </c>
      <c r="AF5" s="458" t="s">
        <v>533</v>
      </c>
      <c r="AG5" s="437"/>
      <c r="AH5" s="437"/>
    </row>
    <row r="6" spans="2:34" ht="21" customHeight="1" x14ac:dyDescent="0.25">
      <c r="B6" s="78" t="s">
        <v>600</v>
      </c>
      <c r="C6" s="29"/>
      <c r="D6" s="29"/>
      <c r="E6" s="121"/>
      <c r="F6" s="122"/>
      <c r="G6" s="29"/>
      <c r="H6" s="29"/>
      <c r="I6" s="121"/>
      <c r="J6" s="92"/>
      <c r="K6" s="18"/>
      <c r="AA6" s="437" t="s">
        <v>489</v>
      </c>
      <c r="AB6" s="437" t="s">
        <v>505</v>
      </c>
      <c r="AC6" s="437"/>
      <c r="AD6" s="437"/>
      <c r="AE6" s="437" t="s">
        <v>493</v>
      </c>
      <c r="AF6" s="437" t="s">
        <v>489</v>
      </c>
      <c r="AG6" s="437"/>
      <c r="AH6" s="437"/>
    </row>
    <row r="7" spans="2:34" ht="21" x14ac:dyDescent="0.35">
      <c r="B7" s="78" t="s">
        <v>570</v>
      </c>
      <c r="C7" s="408" t="str">
        <f>IF(E10&lt;&gt;1,E10,"")&amp;AA7&amp;"    +"</f>
        <v>Fe²⁺    +</v>
      </c>
      <c r="D7" s="409" t="str">
        <f>IF(E11&lt;&gt;1,E11,"")&amp;AB7&amp;IF(J14="rigtig","    +","")</f>
        <v>MnO₄⁻</v>
      </c>
      <c r="E7" s="409" t="str">
        <f>IF(J14="rigtig",H14&amp;AC7,"")</f>
        <v/>
      </c>
      <c r="F7" s="409" t="s">
        <v>48</v>
      </c>
      <c r="G7" s="409" t="str">
        <f>IF(E10&lt;&gt;1,E10,"")&amp;AE7&amp;"    +"</f>
        <v>Fe³⁺    +</v>
      </c>
      <c r="H7" s="409" t="str">
        <f>IF(E11&lt;&gt;1,E11,"")&amp;AF7&amp;IF(J18="rigtig","    +","")</f>
        <v>Mn²⁺</v>
      </c>
      <c r="I7" s="410" t="str">
        <f>IF(J18="Rigtig",AF18&amp;AG7,"")</f>
        <v/>
      </c>
      <c r="J7" s="92"/>
      <c r="K7" s="18"/>
      <c r="AA7" s="437" t="s">
        <v>260</v>
      </c>
      <c r="AB7" s="437" t="s">
        <v>519</v>
      </c>
      <c r="AC7" s="437" t="s">
        <v>552</v>
      </c>
      <c r="AD7" s="437"/>
      <c r="AE7" s="437" t="s">
        <v>128</v>
      </c>
      <c r="AF7" s="437" t="s">
        <v>517</v>
      </c>
      <c r="AG7" s="437" t="s">
        <v>50</v>
      </c>
      <c r="AH7" s="437"/>
    </row>
    <row r="8" spans="2:34" x14ac:dyDescent="0.25">
      <c r="B8" s="435" t="str" cm="1">
        <f t="array" ref="B8">IF(AND(G4:H4="Rigtig",C4:D4="Rigtig"),"","Du får først adgang til næste del af opgaven, når du har angivet oxidationstallene for Fe og Mn")</f>
        <v>Du får først adgang til næste del af opgaven, når du har angivet oxidationstallene for Fe og Mn</v>
      </c>
      <c r="J8" s="92"/>
      <c r="K8" s="18"/>
      <c r="AA8" s="437"/>
      <c r="AB8" s="437"/>
      <c r="AC8" s="437"/>
      <c r="AD8" s="437"/>
      <c r="AE8" s="437"/>
      <c r="AF8" s="437"/>
      <c r="AG8" s="437"/>
      <c r="AH8" s="437"/>
    </row>
    <row r="9" spans="2:34" ht="18.75" x14ac:dyDescent="0.3">
      <c r="B9" s="120" t="s">
        <v>554</v>
      </c>
      <c r="C9" s="362" t="s">
        <v>577</v>
      </c>
      <c r="D9" s="362" t="s">
        <v>123</v>
      </c>
      <c r="E9" s="362" t="s">
        <v>558</v>
      </c>
      <c r="F9" s="362" t="s">
        <v>1066</v>
      </c>
      <c r="G9" s="503" t="s">
        <v>560</v>
      </c>
      <c r="H9" s="504"/>
      <c r="I9" s="505"/>
      <c r="J9" s="92"/>
      <c r="K9" s="18"/>
      <c r="AA9" s="437"/>
      <c r="AB9" s="437"/>
      <c r="AC9" s="437"/>
      <c r="AD9" s="437"/>
      <c r="AE9" s="437"/>
      <c r="AF9" s="437"/>
      <c r="AG9" s="437"/>
      <c r="AH9" s="437"/>
    </row>
    <row r="10" spans="2:34" ht="18.75" x14ac:dyDescent="0.3">
      <c r="B10" s="78" t="str">
        <f>"Ændringen i OT for "&amp;AA4</f>
        <v>Ændringen i OT for Fe</v>
      </c>
      <c r="C10" s="32"/>
      <c r="D10" s="265" t="str">
        <f>IF(C10=AA10,"Rigtig",IF(C10="","","Forkert"))</f>
        <v/>
      </c>
      <c r="E10" s="12"/>
      <c r="F10" s="264">
        <f>E10*C10</f>
        <v>0</v>
      </c>
      <c r="G10" s="506" t="str">
        <f>IF(AND(ABS(F10)=ABS(F11),F10=AB10),"Rigtig",IF(OR(E10="",E11=""),"","Forkert"))</f>
        <v/>
      </c>
      <c r="H10" s="507"/>
      <c r="I10" s="508"/>
      <c r="J10" s="92"/>
      <c r="K10" s="18"/>
      <c r="AA10" s="437">
        <v>1</v>
      </c>
      <c r="AB10" s="437">
        <v>5</v>
      </c>
      <c r="AC10" s="437"/>
      <c r="AD10" s="437"/>
      <c r="AE10" s="437"/>
      <c r="AF10" s="437"/>
      <c r="AG10" s="437"/>
      <c r="AH10" s="437"/>
    </row>
    <row r="11" spans="2:34" ht="18.75" x14ac:dyDescent="0.3">
      <c r="B11" s="78" t="str">
        <f>"Ændringen i OT for "&amp;AB4</f>
        <v>Ændringen i OT for Mn</v>
      </c>
      <c r="C11" s="32"/>
      <c r="D11" s="265" t="str">
        <f>IF(C11=AA11,"Rigtig",IF(C11="","","Forkert"))</f>
        <v/>
      </c>
      <c r="E11" s="12"/>
      <c r="F11" s="264">
        <f>E11*C11</f>
        <v>0</v>
      </c>
      <c r="G11" s="509"/>
      <c r="H11" s="510"/>
      <c r="I11" s="511"/>
      <c r="J11" s="92"/>
      <c r="K11" s="18"/>
      <c r="AA11" s="437">
        <v>-5</v>
      </c>
      <c r="AB11" s="437"/>
      <c r="AC11" s="437"/>
      <c r="AD11" s="437"/>
      <c r="AE11" s="437"/>
      <c r="AF11" s="437"/>
      <c r="AG11" s="437"/>
      <c r="AH11" s="437"/>
    </row>
    <row r="12" spans="2:34" ht="18" customHeight="1" x14ac:dyDescent="0.25">
      <c r="B12" s="78"/>
      <c r="C12" s="92"/>
      <c r="D12" s="92"/>
      <c r="E12" s="92"/>
      <c r="F12" s="92"/>
      <c r="G12" s="92"/>
      <c r="H12" s="92"/>
      <c r="I12" s="92"/>
      <c r="J12" s="92"/>
      <c r="K12" s="18"/>
      <c r="AA12" s="437"/>
      <c r="AB12" s="437"/>
      <c r="AC12" s="437"/>
      <c r="AD12" s="437"/>
      <c r="AE12" s="437"/>
      <c r="AF12" s="437"/>
      <c r="AG12" s="437"/>
      <c r="AH12" s="437"/>
    </row>
    <row r="13" spans="2:34" ht="18.75" x14ac:dyDescent="0.3">
      <c r="B13" s="120" t="s">
        <v>557</v>
      </c>
      <c r="C13" s="362" t="s">
        <v>568</v>
      </c>
      <c r="D13" s="362" t="s">
        <v>123</v>
      </c>
      <c r="E13" s="92"/>
      <c r="F13" s="363" t="str">
        <f>"Tilføjelse af "&amp;AC7&amp;" i "&amp;B7</f>
        <v>Tilføjelse af H⁺ i surt miljø</v>
      </c>
      <c r="G13" s="264"/>
      <c r="H13" s="264" t="s">
        <v>561</v>
      </c>
      <c r="I13" s="264" t="s">
        <v>562</v>
      </c>
      <c r="J13" s="264" t="s">
        <v>123</v>
      </c>
      <c r="K13" s="18"/>
      <c r="AA13" s="437"/>
      <c r="AB13" s="437"/>
      <c r="AC13" s="437"/>
      <c r="AD13" s="437"/>
      <c r="AE13" s="437"/>
      <c r="AF13" s="437"/>
      <c r="AG13" s="437"/>
      <c r="AH13" s="437"/>
    </row>
    <row r="14" spans="2:34" ht="18.75" x14ac:dyDescent="0.3">
      <c r="B14" s="78" t="s">
        <v>565</v>
      </c>
      <c r="C14" s="38"/>
      <c r="D14" s="265" t="str">
        <f>IF(C14="","",IF(C14=AA14,"Rigtig","Forkert"))</f>
        <v/>
      </c>
      <c r="E14" s="92"/>
      <c r="F14" s="512" t="s">
        <v>563</v>
      </c>
      <c r="G14" s="513"/>
      <c r="H14" s="12"/>
      <c r="I14" s="12"/>
      <c r="J14" s="265" t="str">
        <f>IF(AND(H14="",I14=""),"",IF(AND(H14=AD14,I14=AE14),"Rigtig",IF(AND(OR(H14="",H14=AD14),OR(I14="",I14=AE14)),"","Forkert")))</f>
        <v/>
      </c>
      <c r="K14" s="18"/>
      <c r="AA14" s="437">
        <v>9</v>
      </c>
      <c r="AB14" s="437"/>
      <c r="AC14" s="437"/>
      <c r="AD14" s="437">
        <v>8</v>
      </c>
      <c r="AE14" s="437"/>
      <c r="AF14" s="437"/>
      <c r="AG14" s="437"/>
      <c r="AH14" s="437"/>
    </row>
    <row r="15" spans="2:34" ht="18.75" x14ac:dyDescent="0.3">
      <c r="B15" s="78" t="s">
        <v>564</v>
      </c>
      <c r="C15" s="38"/>
      <c r="D15" s="265" t="str">
        <f>IF(C15="","",IF(C15=AA15,"Rigtig","Forkert"))</f>
        <v/>
      </c>
      <c r="E15" s="92"/>
      <c r="F15" s="92"/>
      <c r="G15" s="92"/>
      <c r="H15" s="92"/>
      <c r="I15" s="92"/>
      <c r="J15" s="92"/>
      <c r="K15" s="18"/>
      <c r="AA15" s="437">
        <v>17</v>
      </c>
      <c r="AB15" s="437"/>
      <c r="AC15" s="437"/>
      <c r="AD15" s="437"/>
      <c r="AE15" s="437"/>
      <c r="AF15" s="437"/>
      <c r="AG15" s="437"/>
      <c r="AH15" s="437"/>
    </row>
    <row r="16" spans="2:34" x14ac:dyDescent="0.25">
      <c r="AA16" s="437"/>
      <c r="AB16" s="437"/>
      <c r="AC16" s="437"/>
      <c r="AD16" s="437"/>
      <c r="AE16" s="437"/>
      <c r="AF16" s="437"/>
      <c r="AG16" s="437"/>
      <c r="AH16" s="437"/>
    </row>
    <row r="17" spans="2:34" ht="18.75" x14ac:dyDescent="0.3">
      <c r="B17" s="120" t="s">
        <v>566</v>
      </c>
      <c r="C17" s="362" t="s">
        <v>571</v>
      </c>
      <c r="D17" s="362" t="s">
        <v>123</v>
      </c>
      <c r="E17" s="92"/>
      <c r="F17" s="503" t="s">
        <v>573</v>
      </c>
      <c r="G17" s="505"/>
      <c r="H17" s="264" t="s">
        <v>561</v>
      </c>
      <c r="I17" s="264" t="s">
        <v>562</v>
      </c>
      <c r="J17" s="264" t="s">
        <v>123</v>
      </c>
      <c r="K17" s="18"/>
      <c r="AA17" s="437"/>
      <c r="AB17" s="437"/>
      <c r="AC17" s="437"/>
      <c r="AD17" s="437"/>
      <c r="AE17" s="437"/>
      <c r="AF17" s="437"/>
      <c r="AG17" s="437"/>
      <c r="AH17" s="437"/>
    </row>
    <row r="18" spans="2:34" ht="18.75" x14ac:dyDescent="0.3">
      <c r="B18" s="78" t="s">
        <v>567</v>
      </c>
      <c r="C18" s="29"/>
      <c r="D18" s="265" t="str">
        <f>IF(C18=AA18,"Rigtig",IF(C18="","","Forkert"))</f>
        <v/>
      </c>
      <c r="E18" s="92"/>
      <c r="F18" s="501" t="s">
        <v>572</v>
      </c>
      <c r="G18" s="502"/>
      <c r="H18" s="12"/>
      <c r="I18" s="12"/>
      <c r="J18" s="265" t="str">
        <f>IF(AND(H18=AE18,I18=AF18),"Rigtig",IF(AND(H18="",I18=""),"","Forkert"))</f>
        <v/>
      </c>
      <c r="K18" s="18"/>
      <c r="AA18" s="438" t="s">
        <v>574</v>
      </c>
      <c r="AB18" s="437"/>
      <c r="AC18" s="437"/>
      <c r="AD18" s="437"/>
      <c r="AE18" s="437"/>
      <c r="AF18" s="437">
        <v>4</v>
      </c>
      <c r="AG18" s="437"/>
      <c r="AH18" s="437"/>
    </row>
    <row r="19" spans="2:34" ht="18.75" x14ac:dyDescent="0.3">
      <c r="B19" s="78" t="s">
        <v>569</v>
      </c>
      <c r="C19" s="29"/>
      <c r="D19" s="265" t="str">
        <f>IF(C19=AA19,"Rigtig",IF(C19="","","Forkert"))</f>
        <v/>
      </c>
      <c r="E19" s="92"/>
      <c r="F19" s="92"/>
      <c r="G19" s="92"/>
      <c r="H19" s="92"/>
      <c r="I19" s="92"/>
      <c r="J19" s="92"/>
      <c r="K19" s="18"/>
      <c r="AA19" s="438" t="s">
        <v>530</v>
      </c>
      <c r="AB19" s="437"/>
      <c r="AC19" s="437"/>
      <c r="AD19" s="437"/>
      <c r="AE19" s="437"/>
      <c r="AF19" s="437"/>
      <c r="AG19" s="437"/>
      <c r="AH19" s="437"/>
    </row>
    <row r="20" spans="2:34" x14ac:dyDescent="0.25">
      <c r="B20" s="78"/>
      <c r="C20" s="92"/>
      <c r="D20" s="92"/>
      <c r="E20" s="92"/>
      <c r="F20" s="92"/>
      <c r="G20" s="92"/>
      <c r="H20" s="92"/>
      <c r="I20" s="92"/>
      <c r="J20" s="92"/>
      <c r="K20" s="18"/>
      <c r="AA20" s="437"/>
      <c r="AB20" s="437"/>
      <c r="AC20" s="437"/>
      <c r="AD20" s="437"/>
      <c r="AE20" s="437"/>
      <c r="AF20" s="437"/>
      <c r="AG20" s="437"/>
      <c r="AH20" s="437"/>
    </row>
    <row r="21" spans="2:34" ht="24" thickBot="1" x14ac:dyDescent="0.4">
      <c r="B21" s="123" t="str">
        <f>IF(AND(J18="rigtig",J14="rigtig"),"Sådan! Du fik afstemt reaktionsskemaet korrekt!","")</f>
        <v/>
      </c>
      <c r="C21" s="124"/>
      <c r="D21" s="124"/>
      <c r="E21" s="124"/>
      <c r="F21" s="124"/>
      <c r="G21" s="124"/>
      <c r="H21" s="124"/>
      <c r="I21" s="124"/>
      <c r="J21" s="124"/>
      <c r="K21" s="18"/>
      <c r="AA21" s="437"/>
      <c r="AB21" s="437"/>
      <c r="AC21" s="437"/>
      <c r="AD21" s="437"/>
      <c r="AE21" s="437"/>
      <c r="AF21" s="437"/>
      <c r="AG21" s="437"/>
      <c r="AH21" s="437"/>
    </row>
    <row r="22" spans="2:34" ht="28.5" x14ac:dyDescent="0.45">
      <c r="B22" s="34" t="s">
        <v>83</v>
      </c>
      <c r="C22" s="39" t="str">
        <f>IF(OR(TRIM(C24)=AA24,TRIM(C24)=AA23,TRIM(C24)="+"&amp;AA24,TRIM(C24)="+"&amp;AA23),"Rigtig",IF(TRIM(C24)="","","Forkert"))</f>
        <v/>
      </c>
      <c r="D22" s="39" t="str">
        <f>IF(OR(TRIM(D24)=AB24,TRIM(D24)=AB23,TRIM(D24)="+"&amp;AB24,TRIM(D24)="+"&amp;AB23),"Rigtig",IF(TRIM(D24)="","","Forkert"))</f>
        <v/>
      </c>
      <c r="G22" s="39" t="str">
        <f>IF(OR(TRIM(G24)=AE24,TRIM(G24)=AE23,TRIM(G24)="+"&amp;AE24,TRIM(G24)="+"&amp;AE23),"Rigtig",IF(TRIM(G24)="","","Forkert"))</f>
        <v/>
      </c>
      <c r="H22" s="39" t="str">
        <f>IF(OR(TRIM(H24)=AF24,TRIM(H24)=AF23,TRIM(H24)="+"&amp;AF24,TRIM(H24)="+"&amp;AF23),"Rigtig",IF(TRIM(H24)="","","Forkert"))</f>
        <v/>
      </c>
      <c r="K22" s="18"/>
      <c r="AA22" s="437" t="s">
        <v>575</v>
      </c>
      <c r="AB22" s="437" t="s">
        <v>576</v>
      </c>
      <c r="AC22" s="437"/>
      <c r="AD22" s="437"/>
      <c r="AE22" s="437"/>
      <c r="AF22" s="437"/>
      <c r="AG22" s="437"/>
      <c r="AH22" s="437"/>
    </row>
    <row r="23" spans="2:34" ht="18.75" x14ac:dyDescent="0.3">
      <c r="B23" s="33" t="s">
        <v>553</v>
      </c>
      <c r="C23" s="270" t="str">
        <f>"OT("&amp;AA22&amp;")"</f>
        <v>OT(Cu)</v>
      </c>
      <c r="D23" s="270" t="str">
        <f>"OT("&amp;AB22&amp;")"</f>
        <v>OT(N)</v>
      </c>
      <c r="G23" s="264" t="str">
        <f>"OT("&amp;AA22&amp;")"</f>
        <v>OT(Cu)</v>
      </c>
      <c r="H23" s="264" t="str">
        <f>"OT("&amp;AB22&amp;")"</f>
        <v>OT(N)</v>
      </c>
      <c r="K23" s="18"/>
      <c r="AA23" s="458" t="s">
        <v>530</v>
      </c>
      <c r="AB23" s="458" t="s">
        <v>536</v>
      </c>
      <c r="AC23" s="458"/>
      <c r="AD23" s="458"/>
      <c r="AE23" s="458" t="s">
        <v>533</v>
      </c>
      <c r="AF23" s="458" t="s">
        <v>535</v>
      </c>
      <c r="AG23" s="437"/>
      <c r="AH23" s="437"/>
    </row>
    <row r="24" spans="2:34" x14ac:dyDescent="0.25">
      <c r="B24" s="17" t="s">
        <v>600</v>
      </c>
      <c r="C24" s="29"/>
      <c r="D24" s="29"/>
      <c r="E24" s="44"/>
      <c r="F24" s="45"/>
      <c r="G24" s="29"/>
      <c r="H24" s="29"/>
      <c r="I24" s="44"/>
      <c r="K24" s="18"/>
      <c r="AA24" s="438" t="s">
        <v>530</v>
      </c>
      <c r="AB24" s="437" t="s">
        <v>491</v>
      </c>
      <c r="AC24" s="437"/>
      <c r="AD24" s="437"/>
      <c r="AE24" s="437" t="s">
        <v>489</v>
      </c>
      <c r="AF24" s="437" t="s">
        <v>490</v>
      </c>
      <c r="AG24" s="437"/>
      <c r="AH24" s="437"/>
    </row>
    <row r="25" spans="2:34" ht="21" x14ac:dyDescent="0.35">
      <c r="B25" s="17" t="s">
        <v>570</v>
      </c>
      <c r="C25" s="408" t="str">
        <f>IF(E28&lt;&gt;1,E28,"")&amp;AA25&amp;"    +"</f>
        <v>Cu    +</v>
      </c>
      <c r="D25" s="409" t="str">
        <f>IF(E29&lt;&gt;1,E29,"")&amp;AB25&amp;IF(J32="rigtig","    +","")</f>
        <v>NO₃⁻</v>
      </c>
      <c r="E25" s="409" t="str">
        <f>IF(J32="rigtig",H32&amp;AC25,"")</f>
        <v/>
      </c>
      <c r="F25" s="409" t="s">
        <v>48</v>
      </c>
      <c r="G25" s="409" t="str">
        <f>IF(E28&lt;&gt;1,E28,"")&amp;AE25&amp;"    +"</f>
        <v>Cu²⁺    +</v>
      </c>
      <c r="H25" s="409" t="str">
        <f>IF(E29&lt;&gt;1,E29,"")&amp;AF25&amp;IF(J36="rigtig","    +","")</f>
        <v>NO₂</v>
      </c>
      <c r="I25" s="410" t="str">
        <f>IF(J36="Rigtig",AF36&amp;AG25,"")</f>
        <v/>
      </c>
      <c r="K25" s="18"/>
      <c r="AA25" s="437" t="s">
        <v>575</v>
      </c>
      <c r="AB25" s="437" t="s">
        <v>159</v>
      </c>
      <c r="AC25" s="437" t="s">
        <v>552</v>
      </c>
      <c r="AD25" s="437"/>
      <c r="AE25" s="437" t="s">
        <v>150</v>
      </c>
      <c r="AF25" s="437" t="s">
        <v>206</v>
      </c>
      <c r="AG25" s="437" t="s">
        <v>50</v>
      </c>
      <c r="AH25" s="437"/>
    </row>
    <row r="26" spans="2:34" x14ac:dyDescent="0.25">
      <c r="B26" s="17"/>
      <c r="K26" s="18"/>
      <c r="AA26" s="437"/>
      <c r="AB26" s="437"/>
      <c r="AC26" s="437"/>
      <c r="AD26" s="437"/>
      <c r="AE26" s="437"/>
      <c r="AF26" s="437"/>
      <c r="AG26" s="437"/>
      <c r="AH26" s="437"/>
    </row>
    <row r="27" spans="2:34" ht="18.75" x14ac:dyDescent="0.3">
      <c r="B27" s="33" t="s">
        <v>554</v>
      </c>
      <c r="C27" s="362" t="s">
        <v>577</v>
      </c>
      <c r="D27" s="362" t="s">
        <v>123</v>
      </c>
      <c r="E27" s="362" t="s">
        <v>558</v>
      </c>
      <c r="F27" s="362" t="s">
        <v>559</v>
      </c>
      <c r="G27" s="503" t="s">
        <v>560</v>
      </c>
      <c r="H27" s="504"/>
      <c r="I27" s="505"/>
      <c r="K27" s="18"/>
      <c r="AA27" s="437"/>
      <c r="AB27" s="437"/>
      <c r="AC27" s="437"/>
      <c r="AD27" s="437"/>
      <c r="AE27" s="437"/>
      <c r="AF27" s="437"/>
      <c r="AG27" s="437"/>
      <c r="AH27" s="437"/>
    </row>
    <row r="28" spans="2:34" ht="18.75" x14ac:dyDescent="0.3">
      <c r="B28" s="17" t="str">
        <f>"Ændringen i OT for "&amp;AA22</f>
        <v>Ændringen i OT for Cu</v>
      </c>
      <c r="C28" s="32"/>
      <c r="D28" s="265" t="str">
        <f>IF(C28=AA28,"Rigtig",IF(C28="","","Forkert"))</f>
        <v/>
      </c>
      <c r="E28" s="12"/>
      <c r="F28" s="264">
        <f>E28*C28</f>
        <v>0</v>
      </c>
      <c r="G28" s="514" t="str">
        <f>IF(AND(ABS(F28)=ABS(F29),F28=AB28),"Rigtig",IF(OR(E28="",E29=""),"","Forkert"))</f>
        <v/>
      </c>
      <c r="H28" s="515"/>
      <c r="I28" s="516"/>
      <c r="K28" s="18"/>
      <c r="AA28" s="437">
        <v>2</v>
      </c>
      <c r="AB28" s="437">
        <v>2</v>
      </c>
      <c r="AC28" s="437"/>
      <c r="AD28" s="437"/>
      <c r="AE28" s="437"/>
      <c r="AF28" s="437"/>
      <c r="AG28" s="437"/>
      <c r="AH28" s="437"/>
    </row>
    <row r="29" spans="2:34" ht="18.75" x14ac:dyDescent="0.3">
      <c r="B29" s="17" t="str">
        <f>"Ændringen i OT for "&amp;AB22</f>
        <v>Ændringen i OT for N</v>
      </c>
      <c r="C29" s="32"/>
      <c r="D29" s="265" t="str">
        <f>IF(C29=AA29,"Rigtig",IF(C29="","","Forkert"))</f>
        <v/>
      </c>
      <c r="E29" s="12"/>
      <c r="F29" s="264">
        <f>E29*C29</f>
        <v>0</v>
      </c>
      <c r="G29" s="517"/>
      <c r="H29" s="518"/>
      <c r="I29" s="519"/>
      <c r="K29" s="18"/>
      <c r="AA29" s="437">
        <v>-1</v>
      </c>
      <c r="AB29" s="437"/>
      <c r="AC29" s="437"/>
      <c r="AD29" s="437"/>
      <c r="AE29" s="437"/>
      <c r="AF29" s="437"/>
      <c r="AG29" s="437"/>
      <c r="AH29" s="437"/>
    </row>
    <row r="30" spans="2:34" x14ac:dyDescent="0.25">
      <c r="B30" s="17"/>
      <c r="K30" s="18"/>
      <c r="AA30" s="437"/>
      <c r="AB30" s="437"/>
      <c r="AC30" s="437"/>
      <c r="AD30" s="437"/>
      <c r="AE30" s="437"/>
      <c r="AF30" s="437"/>
      <c r="AG30" s="437"/>
      <c r="AH30" s="437"/>
    </row>
    <row r="31" spans="2:34" ht="18.75" x14ac:dyDescent="0.3">
      <c r="B31" s="33" t="s">
        <v>557</v>
      </c>
      <c r="C31" s="362" t="s">
        <v>568</v>
      </c>
      <c r="D31" s="362" t="s">
        <v>123</v>
      </c>
      <c r="F31" s="363" t="str">
        <f>"Tilføjelse af "&amp;AC25&amp;" i "&amp;B25</f>
        <v>Tilføjelse af H⁺ i surt miljø</v>
      </c>
      <c r="G31" s="364"/>
      <c r="H31" s="264" t="s">
        <v>561</v>
      </c>
      <c r="I31" s="264" t="s">
        <v>562</v>
      </c>
      <c r="J31" s="281" t="s">
        <v>123</v>
      </c>
      <c r="K31" s="18"/>
      <c r="AA31" s="437"/>
      <c r="AB31" s="437"/>
      <c r="AC31" s="437"/>
      <c r="AD31" s="437"/>
      <c r="AE31" s="437"/>
      <c r="AF31" s="437"/>
      <c r="AG31" s="437"/>
      <c r="AH31" s="437"/>
    </row>
    <row r="32" spans="2:34" ht="18.75" x14ac:dyDescent="0.3">
      <c r="B32" s="17" t="s">
        <v>565</v>
      </c>
      <c r="C32" s="38"/>
      <c r="D32" s="265" t="str">
        <f>IF(C32="","",IF(C32=AA32,"Rigtig","Forkert"))</f>
        <v/>
      </c>
      <c r="F32" s="512" t="s">
        <v>563</v>
      </c>
      <c r="G32" s="513"/>
      <c r="H32" s="12"/>
      <c r="I32" s="12"/>
      <c r="J32" s="379" t="str">
        <f>IF(AND(H32="",I32=""),"",IF(AND(H32=AD32,I32=AE32),"Rigtig",IF(AND(OR(H32="",H32=AD32),OR(I32="",I32=AE32)),"","Forkert")))</f>
        <v/>
      </c>
      <c r="K32" s="18"/>
      <c r="AA32" s="437">
        <v>-2</v>
      </c>
      <c r="AB32" s="437"/>
      <c r="AC32" s="437"/>
      <c r="AD32" s="437">
        <v>4</v>
      </c>
      <c r="AE32" s="437"/>
      <c r="AF32" s="437"/>
      <c r="AG32" s="437"/>
      <c r="AH32" s="437"/>
    </row>
    <row r="33" spans="2:34" ht="18.75" x14ac:dyDescent="0.3">
      <c r="B33" s="17" t="s">
        <v>564</v>
      </c>
      <c r="C33" s="38"/>
      <c r="D33" s="265" t="str">
        <f>IF(C33="","",IF(C33=AA33,"Rigtig","Forkert"))</f>
        <v/>
      </c>
      <c r="K33" s="18"/>
      <c r="AA33" s="437">
        <v>2</v>
      </c>
      <c r="AB33" s="437"/>
      <c r="AC33" s="437"/>
      <c r="AD33" s="437"/>
      <c r="AE33" s="437"/>
      <c r="AF33" s="437"/>
      <c r="AG33" s="437"/>
      <c r="AH33" s="437"/>
    </row>
    <row r="34" spans="2:34" x14ac:dyDescent="0.25">
      <c r="B34" s="17"/>
      <c r="K34" s="18"/>
      <c r="AA34" s="437"/>
      <c r="AB34" s="437"/>
      <c r="AC34" s="437"/>
      <c r="AD34" s="437"/>
      <c r="AE34" s="437"/>
      <c r="AF34" s="437"/>
      <c r="AG34" s="437"/>
      <c r="AH34" s="437"/>
    </row>
    <row r="35" spans="2:34" ht="18.75" x14ac:dyDescent="0.3">
      <c r="B35" s="33" t="s">
        <v>566</v>
      </c>
      <c r="C35" s="362" t="s">
        <v>571</v>
      </c>
      <c r="D35" s="362" t="s">
        <v>123</v>
      </c>
      <c r="F35" s="503" t="s">
        <v>573</v>
      </c>
      <c r="G35" s="505"/>
      <c r="H35" s="264" t="s">
        <v>561</v>
      </c>
      <c r="I35" s="264" t="s">
        <v>562</v>
      </c>
      <c r="J35" s="281" t="s">
        <v>123</v>
      </c>
      <c r="K35" s="18"/>
      <c r="AA35" s="437"/>
      <c r="AB35" s="437"/>
      <c r="AC35" s="437"/>
      <c r="AD35" s="437"/>
      <c r="AE35" s="437"/>
      <c r="AF35" s="437"/>
      <c r="AG35" s="437"/>
      <c r="AH35" s="437"/>
    </row>
    <row r="36" spans="2:34" ht="18.75" x14ac:dyDescent="0.3">
      <c r="B36" s="17" t="s">
        <v>567</v>
      </c>
      <c r="C36" s="29"/>
      <c r="D36" s="265" t="str">
        <f>IF(C36=AA36,"Rigtig",IF(C36="","","Forkert"))</f>
        <v/>
      </c>
      <c r="F36" s="501" t="s">
        <v>572</v>
      </c>
      <c r="G36" s="502"/>
      <c r="H36" s="12"/>
      <c r="I36" s="12"/>
      <c r="J36" s="379" t="str">
        <f>IF(AND(H36=AE36,I36=AF36),"Rigtig",IF(AND(H36="",I36=""),"","Forkert"))</f>
        <v/>
      </c>
      <c r="K36" s="18"/>
      <c r="AA36" s="438" t="s">
        <v>535</v>
      </c>
      <c r="AB36" s="437"/>
      <c r="AC36" s="437"/>
      <c r="AD36" s="437"/>
      <c r="AE36" s="437"/>
      <c r="AF36" s="437">
        <v>2</v>
      </c>
      <c r="AG36" s="437"/>
      <c r="AH36" s="437"/>
    </row>
    <row r="37" spans="2:34" ht="18.75" x14ac:dyDescent="0.3">
      <c r="B37" s="17" t="s">
        <v>569</v>
      </c>
      <c r="C37" s="29"/>
      <c r="D37" s="265" t="str">
        <f>IF(C37=AA37,"Rigtig",IF(C37="","","Forkert"))</f>
        <v/>
      </c>
      <c r="K37" s="18"/>
      <c r="AA37" s="438" t="s">
        <v>530</v>
      </c>
      <c r="AB37" s="437"/>
      <c r="AC37" s="437"/>
      <c r="AD37" s="437"/>
      <c r="AE37" s="437"/>
      <c r="AF37" s="437"/>
      <c r="AG37" s="437"/>
      <c r="AH37" s="437"/>
    </row>
    <row r="38" spans="2:34" x14ac:dyDescent="0.25">
      <c r="B38" s="17"/>
      <c r="K38" s="18"/>
      <c r="AA38" s="437"/>
      <c r="AB38" s="437"/>
      <c r="AC38" s="437"/>
      <c r="AD38" s="437"/>
      <c r="AE38" s="437"/>
      <c r="AF38" s="437"/>
      <c r="AG38" s="437"/>
      <c r="AH38" s="437"/>
    </row>
    <row r="39" spans="2:34" ht="24" thickBot="1" x14ac:dyDescent="0.4">
      <c r="B39" s="35" t="str">
        <f>IF(AND(J36="rigtig",J32="rigtig"),"Sådan! Du fik afstemt reaktionsskemaet korrekt!","")</f>
        <v/>
      </c>
      <c r="C39" s="37"/>
      <c r="D39" s="37"/>
      <c r="E39" s="37"/>
      <c r="F39" s="37"/>
      <c r="G39" s="37"/>
      <c r="H39" s="37"/>
      <c r="I39" s="37"/>
      <c r="J39" s="37"/>
      <c r="K39" s="18"/>
      <c r="AA39" s="437"/>
      <c r="AB39" s="437"/>
      <c r="AC39" s="437"/>
      <c r="AD39" s="437"/>
      <c r="AE39" s="437"/>
      <c r="AF39" s="437"/>
      <c r="AG39" s="437"/>
      <c r="AH39" s="437"/>
    </row>
    <row r="40" spans="2:34" x14ac:dyDescent="0.25">
      <c r="B40" s="17"/>
      <c r="K40" s="18"/>
      <c r="AA40" s="437"/>
      <c r="AB40" s="437"/>
      <c r="AC40" s="437"/>
      <c r="AD40" s="437"/>
      <c r="AE40" s="437"/>
      <c r="AF40" s="437"/>
      <c r="AG40" s="437"/>
      <c r="AH40" s="437"/>
    </row>
    <row r="41" spans="2:34" ht="28.5" x14ac:dyDescent="0.45">
      <c r="B41" s="40" t="s">
        <v>84</v>
      </c>
      <c r="C41" s="41" t="str">
        <f>IF(OR(TRIM(C43)=AA43,TRIM(C43)=AA42,TRIM(C43)="+"&amp;AA43,TRIM(C43)="+"&amp;AA42),"Rigtig",IF(TRIM(C43)="","","Forkert"))</f>
        <v/>
      </c>
      <c r="D41" s="41" t="str">
        <f>IF(OR(TRIM(D43)=AB43,TRIM(D43)=AB42,TRIM(D43)="+"&amp;AB43,TRIM(D43)="+"&amp;AB42),"Rigtig",IF(TRIM(D43)="","","Forkert"))</f>
        <v/>
      </c>
      <c r="E41" s="36"/>
      <c r="F41" s="36"/>
      <c r="G41" s="41" t="str">
        <f>IF(OR(TRIM(G43)=AE43,TRIM(G43)=AE42,TRIM(G43)="+"&amp;AE43,TRIM(G43)="+"&amp;AE42),"Rigtig",IF(TRIM(G43)="","","Forkert"))</f>
        <v/>
      </c>
      <c r="H41" s="41" t="str">
        <f>IF(OR(TRIM(H43)=AF43,TRIM(H43)=AF42,TRIM(H43)="+"&amp;AF43,TRIM(H43)="+"&amp;AF42),"Rigtig",IF(TRIM(H43)="","","Forkert"))</f>
        <v/>
      </c>
      <c r="I41" s="36"/>
      <c r="J41" s="36"/>
      <c r="K41" s="18"/>
      <c r="AA41" s="437" t="s">
        <v>578</v>
      </c>
      <c r="AB41" s="437" t="s">
        <v>556</v>
      </c>
      <c r="AC41" s="437"/>
      <c r="AD41" s="437"/>
      <c r="AE41" s="437"/>
      <c r="AF41" s="437"/>
      <c r="AG41" s="437"/>
      <c r="AH41" s="437"/>
    </row>
    <row r="42" spans="2:34" ht="18.75" x14ac:dyDescent="0.3">
      <c r="B42" s="33" t="s">
        <v>553</v>
      </c>
      <c r="C42" s="270" t="str">
        <f>"OT("&amp;AA41&amp;")"</f>
        <v>OT(Cl)</v>
      </c>
      <c r="D42" s="270" t="str">
        <f>"OT("&amp;AB41&amp;")"</f>
        <v>OT(Mn)</v>
      </c>
      <c r="G42" s="264" t="str">
        <f>"OT("&amp;AA41&amp;")"</f>
        <v>OT(Cl)</v>
      </c>
      <c r="H42" s="264" t="str">
        <f>"OT("&amp;AB41&amp;")"</f>
        <v>OT(Mn)</v>
      </c>
      <c r="K42" s="18"/>
      <c r="AA42" s="458" t="s">
        <v>513</v>
      </c>
      <c r="AB42" s="438" t="s">
        <v>547</v>
      </c>
      <c r="AC42" s="438"/>
      <c r="AD42" s="438"/>
      <c r="AE42" s="438" t="s">
        <v>530</v>
      </c>
      <c r="AF42" s="438" t="s">
        <v>533</v>
      </c>
      <c r="AG42" s="437"/>
      <c r="AH42" s="437"/>
    </row>
    <row r="43" spans="2:34" x14ac:dyDescent="0.25">
      <c r="B43" s="17" t="s">
        <v>600</v>
      </c>
      <c r="C43" s="29"/>
      <c r="D43" s="29"/>
      <c r="E43" s="44"/>
      <c r="F43" s="45"/>
      <c r="G43" s="29"/>
      <c r="H43" s="29"/>
      <c r="I43" s="44"/>
      <c r="K43" s="18"/>
      <c r="AA43" s="438" t="s">
        <v>511</v>
      </c>
      <c r="AB43" s="438" t="s">
        <v>505</v>
      </c>
      <c r="AC43" s="438"/>
      <c r="AD43" s="438"/>
      <c r="AE43" s="438" t="s">
        <v>530</v>
      </c>
      <c r="AF43" s="438" t="s">
        <v>489</v>
      </c>
      <c r="AG43" s="437"/>
      <c r="AH43" s="437"/>
    </row>
    <row r="44" spans="2:34" ht="21" x14ac:dyDescent="0.35">
      <c r="B44" s="17" t="s">
        <v>570</v>
      </c>
      <c r="C44" s="408" t="str">
        <f>IF(E47&lt;&gt;1,E47,"")&amp;AA44&amp;"    +"</f>
        <v>Cl⁻    +</v>
      </c>
      <c r="D44" s="409" t="str">
        <f>IF(E48&lt;&gt;1,E48,"")&amp;AB44&amp;IF(J51="rigtig","    +","")</f>
        <v>MnO₄⁻</v>
      </c>
      <c r="E44" s="409" t="str">
        <f>IF(J51="rigtig",H51&amp;AC44,"")</f>
        <v/>
      </c>
      <c r="F44" s="409" t="s">
        <v>48</v>
      </c>
      <c r="G44" s="409" t="str">
        <f>IF(OR(E47=1,E47=""),"",E47/2)&amp;AE44&amp;"    +"</f>
        <v>Cl₂    +</v>
      </c>
      <c r="H44" s="409" t="str">
        <f>IF(E48&lt;&gt;1,E48,"")&amp;AF44&amp;IF(J55="rigtig","    +","")</f>
        <v>Mn²⁺</v>
      </c>
      <c r="I44" s="410" t="str">
        <f>IF(J55="Rigtig",I55&amp;AG44,"")</f>
        <v/>
      </c>
      <c r="K44" s="18"/>
      <c r="AA44" s="437" t="s">
        <v>436</v>
      </c>
      <c r="AB44" s="437" t="s">
        <v>519</v>
      </c>
      <c r="AC44" s="437" t="s">
        <v>552</v>
      </c>
      <c r="AD44" s="437"/>
      <c r="AE44" s="437" t="s">
        <v>579</v>
      </c>
      <c r="AF44" s="437" t="s">
        <v>517</v>
      </c>
      <c r="AG44" s="437" t="s">
        <v>50</v>
      </c>
      <c r="AH44" s="437"/>
    </row>
    <row r="45" spans="2:34" x14ac:dyDescent="0.25">
      <c r="B45" s="17"/>
      <c r="K45" s="18"/>
      <c r="AA45" s="437"/>
      <c r="AB45" s="437"/>
      <c r="AC45" s="437"/>
      <c r="AD45" s="437"/>
      <c r="AE45" s="437"/>
      <c r="AF45" s="437"/>
      <c r="AG45" s="437"/>
      <c r="AH45" s="437"/>
    </row>
    <row r="46" spans="2:34" ht="18.75" x14ac:dyDescent="0.3">
      <c r="B46" s="33" t="s">
        <v>554</v>
      </c>
      <c r="C46" s="362" t="s">
        <v>577</v>
      </c>
      <c r="D46" s="362" t="s">
        <v>123</v>
      </c>
      <c r="E46" s="362" t="s">
        <v>558</v>
      </c>
      <c r="F46" s="362" t="s">
        <v>559</v>
      </c>
      <c r="G46" s="503" t="s">
        <v>560</v>
      </c>
      <c r="H46" s="504"/>
      <c r="I46" s="505"/>
      <c r="K46" s="18"/>
      <c r="AA46" s="437"/>
      <c r="AB46" s="437"/>
      <c r="AC46" s="437"/>
      <c r="AD46" s="437"/>
      <c r="AE46" s="437"/>
      <c r="AF46" s="437"/>
      <c r="AG46" s="437"/>
      <c r="AH46" s="437"/>
    </row>
    <row r="47" spans="2:34" ht="18.75" x14ac:dyDescent="0.3">
      <c r="B47" s="17" t="str">
        <f>"Ændringen i OT for "&amp;AA41</f>
        <v>Ændringen i OT for Cl</v>
      </c>
      <c r="C47" s="32"/>
      <c r="D47" s="265" t="str">
        <f>IF(C47=AA47,"Rigtig",IF(C47="","","Forkert"))</f>
        <v/>
      </c>
      <c r="E47" s="12"/>
      <c r="F47" s="264">
        <f>E47*C47</f>
        <v>0</v>
      </c>
      <c r="G47" s="514" t="str">
        <f>IF(AND(ABS(F47)=ABS(F48),F47=AB47),"Rigtig",IF(OR(E47="",E48=""),"",IF(ABS(F47)=ABS(F48),"Undgå halve tal i reaktionsskemaet","Forkert")))</f>
        <v/>
      </c>
      <c r="H47" s="515"/>
      <c r="I47" s="516"/>
      <c r="K47" s="18"/>
      <c r="AA47" s="437">
        <v>1</v>
      </c>
      <c r="AB47" s="437">
        <v>10</v>
      </c>
      <c r="AC47" s="437"/>
      <c r="AD47" s="437"/>
      <c r="AE47" s="437"/>
      <c r="AF47" s="437"/>
      <c r="AG47" s="437"/>
      <c r="AH47" s="437"/>
    </row>
    <row r="48" spans="2:34" ht="18.75" x14ac:dyDescent="0.3">
      <c r="B48" s="17" t="str">
        <f>"Ændringen i OT for "&amp;AB41</f>
        <v>Ændringen i OT for Mn</v>
      </c>
      <c r="C48" s="32"/>
      <c r="D48" s="265" t="str">
        <f>IF(C48=AA48,"Rigtig",IF(C48="","","Forkert"))</f>
        <v/>
      </c>
      <c r="E48" s="12"/>
      <c r="F48" s="264">
        <f>E48*C48</f>
        <v>0</v>
      </c>
      <c r="G48" s="517"/>
      <c r="H48" s="518"/>
      <c r="I48" s="519"/>
      <c r="K48" s="18"/>
      <c r="AA48" s="437">
        <v>-5</v>
      </c>
      <c r="AB48" s="437"/>
      <c r="AC48" s="437"/>
      <c r="AD48" s="437"/>
      <c r="AE48" s="437"/>
      <c r="AF48" s="437"/>
      <c r="AG48" s="437"/>
      <c r="AH48" s="437"/>
    </row>
    <row r="49" spans="2:34" x14ac:dyDescent="0.25">
      <c r="AA49" s="437"/>
      <c r="AB49" s="437"/>
      <c r="AC49" s="437"/>
      <c r="AD49" s="437"/>
      <c r="AE49" s="437"/>
      <c r="AF49" s="437"/>
      <c r="AG49" s="437"/>
      <c r="AH49" s="437"/>
    </row>
    <row r="50" spans="2:34" ht="18.75" x14ac:dyDescent="0.3">
      <c r="B50" s="33" t="s">
        <v>557</v>
      </c>
      <c r="C50" s="362" t="s">
        <v>568</v>
      </c>
      <c r="D50" s="362" t="s">
        <v>123</v>
      </c>
      <c r="F50" s="363" t="str">
        <f>"Tilføjelse af "&amp;AC44&amp;" i "&amp;B44</f>
        <v>Tilføjelse af H⁺ i surt miljø</v>
      </c>
      <c r="G50" s="364"/>
      <c r="H50" s="264" t="s">
        <v>561</v>
      </c>
      <c r="I50" s="264" t="s">
        <v>562</v>
      </c>
      <c r="J50" s="264" t="s">
        <v>123</v>
      </c>
      <c r="K50" s="18"/>
      <c r="AA50" s="437"/>
      <c r="AB50" s="437"/>
      <c r="AC50" s="437"/>
      <c r="AD50" s="437"/>
      <c r="AE50" s="437"/>
      <c r="AF50" s="437"/>
      <c r="AG50" s="437"/>
      <c r="AH50" s="437"/>
    </row>
    <row r="51" spans="2:34" ht="18.75" x14ac:dyDescent="0.3">
      <c r="B51" s="17" t="s">
        <v>565</v>
      </c>
      <c r="C51" s="38"/>
      <c r="D51" s="265" t="str">
        <f>IF(C51="","",IF(C51=AA51,"Rigtig","Forkert"))</f>
        <v/>
      </c>
      <c r="F51" s="501" t="s">
        <v>563</v>
      </c>
      <c r="G51" s="502"/>
      <c r="H51" s="12"/>
      <c r="I51" s="12"/>
      <c r="J51" s="265" t="str">
        <f>IF(AND(H51="",I51=""),"",IF(AND(H51=AD51,I51=AE51),"Rigtig",IF(AND(OR(H51="",H51=AD51),OR(I51="",I51=AE51)),"","Forkert")))</f>
        <v/>
      </c>
      <c r="K51" s="18"/>
      <c r="AA51" s="437">
        <v>-12</v>
      </c>
      <c r="AB51" s="437"/>
      <c r="AC51" s="437"/>
      <c r="AD51" s="437">
        <v>16</v>
      </c>
      <c r="AE51" s="437"/>
      <c r="AF51" s="437"/>
      <c r="AG51" s="437"/>
      <c r="AH51" s="437"/>
    </row>
    <row r="52" spans="2:34" ht="18.75" x14ac:dyDescent="0.3">
      <c r="B52" s="17" t="s">
        <v>564</v>
      </c>
      <c r="C52" s="38"/>
      <c r="D52" s="265" t="str">
        <f>IF(C52="","",IF(C52=AA52,"Rigtig","Forkert"))</f>
        <v/>
      </c>
      <c r="K52" s="18"/>
      <c r="AA52" s="437">
        <v>4</v>
      </c>
      <c r="AB52" s="437"/>
      <c r="AC52" s="437"/>
      <c r="AD52" s="437"/>
      <c r="AE52" s="437"/>
      <c r="AF52" s="437"/>
      <c r="AG52" s="437"/>
      <c r="AH52" s="437"/>
    </row>
    <row r="53" spans="2:34" x14ac:dyDescent="0.25">
      <c r="B53" s="17"/>
      <c r="K53" s="18"/>
      <c r="AA53" s="437"/>
      <c r="AB53" s="437"/>
      <c r="AC53" s="437"/>
      <c r="AD53" s="437"/>
      <c r="AE53" s="437"/>
      <c r="AF53" s="437"/>
      <c r="AG53" s="437"/>
      <c r="AH53" s="437"/>
    </row>
    <row r="54" spans="2:34" ht="18.75" x14ac:dyDescent="0.3">
      <c r="B54" s="33" t="s">
        <v>566</v>
      </c>
      <c r="C54" s="362" t="s">
        <v>571</v>
      </c>
      <c r="D54" s="362" t="s">
        <v>123</v>
      </c>
      <c r="F54" s="503" t="s">
        <v>573</v>
      </c>
      <c r="G54" s="505"/>
      <c r="H54" s="264" t="s">
        <v>561</v>
      </c>
      <c r="I54" s="264" t="s">
        <v>562</v>
      </c>
      <c r="J54" s="264" t="s">
        <v>123</v>
      </c>
      <c r="K54" s="18"/>
      <c r="AA54" s="437"/>
      <c r="AB54" s="437"/>
      <c r="AC54" s="437"/>
      <c r="AD54" s="437"/>
      <c r="AE54" s="437"/>
      <c r="AF54" s="437"/>
      <c r="AG54" s="437"/>
      <c r="AH54" s="437"/>
    </row>
    <row r="55" spans="2:34" ht="18.75" x14ac:dyDescent="0.3">
      <c r="B55" s="17" t="s">
        <v>567</v>
      </c>
      <c r="C55" s="29"/>
      <c r="D55" s="265" t="str">
        <f>IF(C55=AA55,"Rigtig",IF(C55="","","Forkert"))</f>
        <v/>
      </c>
      <c r="F55" s="501" t="s">
        <v>572</v>
      </c>
      <c r="G55" s="502"/>
      <c r="H55" s="12"/>
      <c r="I55" s="12"/>
      <c r="J55" s="265" t="str">
        <f>IF(AND(H55=AE55,I55=AF55),"Rigtig",IF(AND(H55="",I55=""),"","Forkert"))</f>
        <v/>
      </c>
      <c r="K55" s="18"/>
      <c r="AA55" s="438" t="s">
        <v>580</v>
      </c>
      <c r="AB55" s="437"/>
      <c r="AC55" s="437"/>
      <c r="AD55" s="437"/>
      <c r="AE55" s="437"/>
      <c r="AF55" s="437">
        <v>8</v>
      </c>
      <c r="AG55" s="437"/>
      <c r="AH55" s="437"/>
    </row>
    <row r="56" spans="2:34" ht="18.75" x14ac:dyDescent="0.3">
      <c r="B56" s="17" t="s">
        <v>569</v>
      </c>
      <c r="C56" s="29"/>
      <c r="D56" s="265" t="str">
        <f>IF(C56=AA56,"Rigtig",IF(C56="","","Forkert"))</f>
        <v/>
      </c>
      <c r="K56" s="18"/>
      <c r="AA56" s="438" t="s">
        <v>530</v>
      </c>
      <c r="AB56" s="437"/>
      <c r="AC56" s="437"/>
      <c r="AD56" s="437"/>
      <c r="AE56" s="437"/>
      <c r="AF56" s="437"/>
      <c r="AG56" s="437"/>
      <c r="AH56" s="437"/>
    </row>
    <row r="57" spans="2:34" x14ac:dyDescent="0.25">
      <c r="B57" s="17"/>
      <c r="K57" s="18"/>
      <c r="AA57" s="437"/>
      <c r="AB57" s="437"/>
      <c r="AC57" s="437"/>
      <c r="AD57" s="437"/>
      <c r="AE57" s="437"/>
      <c r="AF57" s="437"/>
      <c r="AG57" s="437"/>
      <c r="AH57" s="437"/>
    </row>
    <row r="58" spans="2:34" ht="24" thickBot="1" x14ac:dyDescent="0.4">
      <c r="B58" s="35" t="str">
        <f>IF(AND(J55="rigtig",J51="rigtig"),"Sådan! Du fik afstemt reaktionsskemaet korrekt!","")</f>
        <v/>
      </c>
      <c r="C58" s="37"/>
      <c r="D58" s="37"/>
      <c r="E58" s="37"/>
      <c r="F58" s="37"/>
      <c r="G58" s="37"/>
      <c r="H58" s="37"/>
      <c r="I58" s="37"/>
      <c r="J58" s="37"/>
      <c r="K58" s="18"/>
      <c r="AA58" s="437"/>
      <c r="AB58" s="437"/>
      <c r="AC58" s="437"/>
      <c r="AD58" s="437"/>
      <c r="AE58" s="437"/>
      <c r="AF58" s="437"/>
      <c r="AG58" s="437"/>
      <c r="AH58" s="437"/>
    </row>
    <row r="59" spans="2:34" x14ac:dyDescent="0.25">
      <c r="B59" s="17"/>
      <c r="K59" s="18"/>
      <c r="AA59" s="437"/>
      <c r="AB59" s="437"/>
      <c r="AC59" s="437"/>
      <c r="AD59" s="437"/>
      <c r="AE59" s="437"/>
      <c r="AF59" s="437"/>
      <c r="AG59" s="437"/>
      <c r="AH59" s="437"/>
    </row>
    <row r="60" spans="2:34" ht="28.5" x14ac:dyDescent="0.45">
      <c r="B60" s="40" t="s">
        <v>85</v>
      </c>
      <c r="C60" s="41" t="str">
        <f>IF(OR(TRIM(C62)=AA62,TRIM(C62)=AA61,TRIM(C62)="+"&amp;AA62,TRIM(C62)="+"&amp;AA61),"Rigtig",IF(TRIM(C62)="","","Forkert"))</f>
        <v/>
      </c>
      <c r="D60" s="41" t="str">
        <f>IF(OR(TRIM(D62)=AB62,TRIM(D62)=AB61,TRIM(D62)="+"&amp;AB62,TRIM(D62)="+"&amp;AB61),"Rigtig",IF(TRIM(D62)="","","Forkert"))</f>
        <v/>
      </c>
      <c r="E60" s="36"/>
      <c r="F60" s="36"/>
      <c r="G60" s="41" t="str">
        <f>IF(OR(TRIM(G62)=AE62,TRIM(G62)=AE61,TRIM(G62)="+"&amp;AE62,TRIM(G62)="+"&amp;AE61),"Rigtig",IF(TRIM(G62)="","","Forkert"))</f>
        <v/>
      </c>
      <c r="H60" s="41" t="str">
        <f>IF(OR(TRIM(H62)=AF62,TRIM(H62)=AF61,TRIM(H62)="+"&amp;AF62,TRIM(H62)="+"&amp;AF61),"Rigtig",IF(TRIM(H62)="","","Forkert"))</f>
        <v/>
      </c>
      <c r="I60" s="36"/>
      <c r="J60" s="36"/>
      <c r="K60" s="18"/>
      <c r="AA60" s="437" t="s">
        <v>583</v>
      </c>
      <c r="AB60" s="437" t="s">
        <v>584</v>
      </c>
      <c r="AC60" s="437"/>
      <c r="AD60" s="437"/>
      <c r="AE60" s="437"/>
      <c r="AF60" s="437"/>
      <c r="AG60" s="437"/>
      <c r="AH60" s="437"/>
    </row>
    <row r="61" spans="2:34" ht="18.75" x14ac:dyDescent="0.3">
      <c r="B61" s="33" t="s">
        <v>553</v>
      </c>
      <c r="C61" s="270" t="str">
        <f>"OT("&amp;AA60&amp;")"</f>
        <v>OT(C)</v>
      </c>
      <c r="D61" s="270" t="str">
        <f>"OT("&amp;AB60&amp;")"</f>
        <v>OT(Cr)</v>
      </c>
      <c r="G61" s="264" t="str">
        <f>"OT("&amp;AA60&amp;")"</f>
        <v>OT(C)</v>
      </c>
      <c r="H61" s="264" t="str">
        <f>"OT("&amp;AB60&amp;")"</f>
        <v>OT(Cr)</v>
      </c>
      <c r="K61" s="18"/>
      <c r="AA61" s="458" t="s">
        <v>534</v>
      </c>
      <c r="AB61" s="438" t="s">
        <v>540</v>
      </c>
      <c r="AC61" s="438"/>
      <c r="AD61" s="438"/>
      <c r="AE61" s="438" t="s">
        <v>533</v>
      </c>
      <c r="AF61" s="438" t="s">
        <v>538</v>
      </c>
      <c r="AG61" s="437"/>
      <c r="AH61" s="437"/>
    </row>
    <row r="62" spans="2:34" x14ac:dyDescent="0.25">
      <c r="B62" s="17" t="s">
        <v>600</v>
      </c>
      <c r="C62" s="29"/>
      <c r="D62" s="29"/>
      <c r="E62" s="44"/>
      <c r="F62" s="45"/>
      <c r="G62" s="29"/>
      <c r="H62" s="29"/>
      <c r="I62" s="44"/>
      <c r="K62" s="18"/>
      <c r="AA62" s="438" t="s">
        <v>522</v>
      </c>
      <c r="AB62" s="438" t="s">
        <v>494</v>
      </c>
      <c r="AC62" s="438"/>
      <c r="AD62" s="438"/>
      <c r="AE62" s="438" t="s">
        <v>489</v>
      </c>
      <c r="AF62" s="438" t="s">
        <v>493</v>
      </c>
      <c r="AG62" s="437"/>
      <c r="AH62" s="437"/>
    </row>
    <row r="63" spans="2:34" ht="21" x14ac:dyDescent="0.35">
      <c r="B63" s="17" t="s">
        <v>570</v>
      </c>
      <c r="C63" s="408" t="str">
        <f>IF(E66&lt;&gt;1,E66,"")&amp;AA63&amp;"    +"</f>
        <v>CH₃OH    +</v>
      </c>
      <c r="D63" s="409" t="str">
        <f>IF(OR(E67=1,E67=""),"",E67/2)&amp;AB63&amp;"    +"</f>
        <v>Cr₂O₇²⁻    +</v>
      </c>
      <c r="E63" s="409" t="str">
        <f>IF(J70="rigtig",H70&amp;AC63,"")</f>
        <v/>
      </c>
      <c r="F63" s="409" t="s">
        <v>48</v>
      </c>
      <c r="G63" s="409" t="str">
        <f>IF(E66&lt;&gt;1,E66,"")&amp;AE63&amp;"    +"</f>
        <v>HCOOH    +</v>
      </c>
      <c r="H63" s="409" t="str">
        <f>IF(E67&lt;&gt;1,E67,"")&amp;AF63&amp;IF(J74="rigtig","    +","")</f>
        <v>Cr³⁺</v>
      </c>
      <c r="I63" s="410" t="str">
        <f>IF(J74="Rigtig",I74&amp;AG63,"")</f>
        <v/>
      </c>
      <c r="K63" s="18"/>
      <c r="AA63" s="437" t="s">
        <v>36</v>
      </c>
      <c r="AB63" s="437" t="s">
        <v>499</v>
      </c>
      <c r="AC63" s="437" t="s">
        <v>552</v>
      </c>
      <c r="AD63" s="437"/>
      <c r="AE63" s="437" t="s">
        <v>581</v>
      </c>
      <c r="AF63" s="437" t="s">
        <v>582</v>
      </c>
      <c r="AG63" s="437" t="s">
        <v>50</v>
      </c>
      <c r="AH63" s="437"/>
    </row>
    <row r="64" spans="2:34" x14ac:dyDescent="0.25">
      <c r="AA64" s="437"/>
      <c r="AB64" s="437"/>
      <c r="AC64" s="437"/>
      <c r="AD64" s="437"/>
      <c r="AE64" s="437"/>
      <c r="AF64" s="437"/>
      <c r="AG64" s="437"/>
      <c r="AH64" s="437"/>
    </row>
    <row r="65" spans="2:34" ht="18.75" x14ac:dyDescent="0.3">
      <c r="B65" s="33" t="s">
        <v>554</v>
      </c>
      <c r="C65" s="362" t="s">
        <v>577</v>
      </c>
      <c r="D65" s="362" t="s">
        <v>123</v>
      </c>
      <c r="E65" s="362" t="s">
        <v>558</v>
      </c>
      <c r="F65" s="362" t="s">
        <v>559</v>
      </c>
      <c r="G65" s="503" t="s">
        <v>560</v>
      </c>
      <c r="H65" s="504"/>
      <c r="I65" s="505"/>
      <c r="K65" s="18"/>
      <c r="AA65" s="437"/>
      <c r="AB65" s="437"/>
      <c r="AC65" s="437"/>
      <c r="AD65" s="437"/>
      <c r="AE65" s="437"/>
      <c r="AF65" s="437"/>
      <c r="AG65" s="437"/>
      <c r="AH65" s="437"/>
    </row>
    <row r="66" spans="2:34" ht="18.75" x14ac:dyDescent="0.3">
      <c r="B66" s="17" t="str">
        <f>"Ændringen i OT for "&amp;AA60</f>
        <v>Ændringen i OT for C</v>
      </c>
      <c r="C66" s="32"/>
      <c r="D66" s="265" t="str">
        <f>IF(C66=AA66,"Rigtig",IF(C66="","","Forkert"))</f>
        <v/>
      </c>
      <c r="E66" s="12"/>
      <c r="F66" s="264">
        <f>E66*C66</f>
        <v>0</v>
      </c>
      <c r="G66" s="514" t="str">
        <f>IF(AND(ABS(F66)=ABS(F67),F66=AB66),"Rigtig",IF(OR(E66="",E67=""),"",IF(ABS(F66)=ABS(F67),"Undgå halve tal i reaktionsskemaet","Forkert")))</f>
        <v/>
      </c>
      <c r="H66" s="515"/>
      <c r="I66" s="516"/>
      <c r="K66" s="18"/>
      <c r="AA66" s="437">
        <v>4</v>
      </c>
      <c r="AB66" s="437">
        <v>12</v>
      </c>
      <c r="AC66" s="437"/>
      <c r="AD66" s="437"/>
      <c r="AE66" s="437"/>
      <c r="AF66" s="437"/>
      <c r="AG66" s="437"/>
      <c r="AH66" s="437"/>
    </row>
    <row r="67" spans="2:34" ht="18.75" x14ac:dyDescent="0.3">
      <c r="B67" s="17" t="str">
        <f>"Ændringen i OT for "&amp;AB60</f>
        <v>Ændringen i OT for Cr</v>
      </c>
      <c r="C67" s="32"/>
      <c r="D67" s="265" t="str">
        <f>IF(C67=AA67,"Rigtig",IF(C67="","","Forkert"))</f>
        <v/>
      </c>
      <c r="E67" s="12"/>
      <c r="F67" s="264">
        <f>E67*C67</f>
        <v>0</v>
      </c>
      <c r="G67" s="517"/>
      <c r="H67" s="518"/>
      <c r="I67" s="519"/>
      <c r="K67" s="18"/>
      <c r="AA67" s="437">
        <v>-3</v>
      </c>
      <c r="AB67" s="437"/>
      <c r="AC67" s="437"/>
      <c r="AD67" s="437"/>
      <c r="AE67" s="437"/>
      <c r="AF67" s="437"/>
      <c r="AG67" s="437"/>
      <c r="AH67" s="437"/>
    </row>
    <row r="68" spans="2:34" x14ac:dyDescent="0.25">
      <c r="B68" s="17"/>
      <c r="K68" s="18"/>
      <c r="AA68" s="437"/>
      <c r="AB68" s="437"/>
      <c r="AC68" s="437"/>
      <c r="AD68" s="437"/>
      <c r="AE68" s="437"/>
      <c r="AF68" s="437"/>
      <c r="AG68" s="437"/>
      <c r="AH68" s="437"/>
    </row>
    <row r="69" spans="2:34" ht="18.75" x14ac:dyDescent="0.3">
      <c r="B69" s="33" t="s">
        <v>557</v>
      </c>
      <c r="C69" s="362" t="s">
        <v>568</v>
      </c>
      <c r="D69" s="362" t="s">
        <v>123</v>
      </c>
      <c r="F69" s="363" t="str">
        <f>"Tilføjelse af "&amp;AC63&amp;" i "&amp;B63</f>
        <v>Tilføjelse af H⁺ i surt miljø</v>
      </c>
      <c r="G69" s="364"/>
      <c r="H69" s="264" t="s">
        <v>561</v>
      </c>
      <c r="I69" s="264" t="s">
        <v>562</v>
      </c>
      <c r="J69" s="264" t="s">
        <v>123</v>
      </c>
      <c r="K69" s="18"/>
      <c r="AA69" s="437"/>
      <c r="AB69" s="437"/>
      <c r="AC69" s="437"/>
      <c r="AD69" s="437"/>
      <c r="AE69" s="437"/>
      <c r="AF69" s="437"/>
      <c r="AG69" s="437"/>
      <c r="AH69" s="437"/>
    </row>
    <row r="70" spans="2:34" ht="18.75" x14ac:dyDescent="0.3">
      <c r="B70" s="17" t="s">
        <v>565</v>
      </c>
      <c r="C70" s="38"/>
      <c r="D70" s="265" t="str">
        <f>IF(C70="","",IF(C70=AA70,"Rigtig","Forkert"))</f>
        <v/>
      </c>
      <c r="F70" s="512" t="s">
        <v>563</v>
      </c>
      <c r="G70" s="513"/>
      <c r="H70" s="12"/>
      <c r="I70" s="12"/>
      <c r="J70" s="265" t="str">
        <f>IF(AND(H70="",I70=""),"",IF(AND(H70=AD70,I70=AE70),"Rigtig",IF(AND(OR(H70="",H70=AD70),OR(I70="",I70=AE70)),"","Forkert")))</f>
        <v/>
      </c>
      <c r="K70" s="18"/>
      <c r="AA70" s="437">
        <v>-4</v>
      </c>
      <c r="AB70" s="437"/>
      <c r="AC70" s="437"/>
      <c r="AD70" s="437">
        <v>16</v>
      </c>
      <c r="AE70" s="437"/>
      <c r="AF70" s="437">
        <v>16</v>
      </c>
      <c r="AG70" s="437"/>
      <c r="AH70" s="437"/>
    </row>
    <row r="71" spans="2:34" ht="18.75" x14ac:dyDescent="0.3">
      <c r="B71" s="17" t="s">
        <v>564</v>
      </c>
      <c r="C71" s="38"/>
      <c r="D71" s="265" t="str">
        <f>IF(C71="","",IF(C71=AA71,"Rigtig","Forkert"))</f>
        <v/>
      </c>
      <c r="K71" s="18"/>
      <c r="AA71" s="437">
        <v>12</v>
      </c>
      <c r="AB71" s="437"/>
      <c r="AC71" s="437"/>
      <c r="AD71" s="437"/>
      <c r="AE71" s="437"/>
      <c r="AF71" s="437"/>
      <c r="AG71" s="437"/>
      <c r="AH71" s="437"/>
    </row>
    <row r="72" spans="2:34" x14ac:dyDescent="0.25">
      <c r="B72" s="17"/>
      <c r="K72" s="18"/>
      <c r="AA72" s="437"/>
      <c r="AB72" s="437"/>
      <c r="AC72" s="437"/>
      <c r="AD72" s="437"/>
      <c r="AE72" s="437"/>
      <c r="AF72" s="437"/>
      <c r="AG72" s="437"/>
      <c r="AH72" s="437"/>
    </row>
    <row r="73" spans="2:34" ht="18.75" x14ac:dyDescent="0.3">
      <c r="B73" s="33" t="s">
        <v>566</v>
      </c>
      <c r="C73" s="362" t="s">
        <v>571</v>
      </c>
      <c r="D73" s="362" t="s">
        <v>123</v>
      </c>
      <c r="F73" s="503" t="s">
        <v>573</v>
      </c>
      <c r="G73" s="505"/>
      <c r="H73" s="264" t="s">
        <v>561</v>
      </c>
      <c r="I73" s="264" t="s">
        <v>562</v>
      </c>
      <c r="J73" s="264" t="s">
        <v>123</v>
      </c>
      <c r="K73" s="18"/>
      <c r="AA73" s="437"/>
      <c r="AB73" s="437"/>
      <c r="AC73" s="437"/>
      <c r="AD73" s="437"/>
      <c r="AE73" s="437"/>
      <c r="AF73" s="437"/>
      <c r="AG73" s="437"/>
      <c r="AH73" s="437"/>
    </row>
    <row r="74" spans="2:34" ht="18.75" x14ac:dyDescent="0.3">
      <c r="B74" s="17" t="s">
        <v>567</v>
      </c>
      <c r="C74" s="29"/>
      <c r="D74" s="265" t="str">
        <f>IF(C74=AA74,"Rigtig",IF(C74="","","Forkert"))</f>
        <v/>
      </c>
      <c r="F74" s="501" t="s">
        <v>572</v>
      </c>
      <c r="G74" s="502"/>
      <c r="H74" s="12"/>
      <c r="I74" s="12"/>
      <c r="J74" s="265" t="str">
        <f>IF(AND(H74=AE74,I74=AF74),"Rigtig",IF(AND(H74="",I74=""),"","Forkert"))</f>
        <v/>
      </c>
      <c r="K74" s="18"/>
      <c r="AA74" s="438" t="s">
        <v>1068</v>
      </c>
      <c r="AB74" s="437"/>
      <c r="AC74" s="437"/>
      <c r="AD74" s="437"/>
      <c r="AE74" s="437"/>
      <c r="AF74" s="437">
        <v>11</v>
      </c>
      <c r="AG74" s="437"/>
      <c r="AH74" s="437"/>
    </row>
    <row r="75" spans="2:34" ht="18.75" x14ac:dyDescent="0.3">
      <c r="B75" s="17" t="s">
        <v>569</v>
      </c>
      <c r="C75" s="29"/>
      <c r="D75" s="265" t="str">
        <f>IF(C75=AA75,"Rigtig",IF(C75="","","Forkert"))</f>
        <v/>
      </c>
      <c r="K75" s="18"/>
      <c r="AA75" s="438" t="s">
        <v>540</v>
      </c>
      <c r="AB75" s="437"/>
      <c r="AC75" s="437"/>
      <c r="AD75" s="437"/>
      <c r="AE75" s="437"/>
      <c r="AF75" s="437"/>
      <c r="AG75" s="437"/>
      <c r="AH75" s="437"/>
    </row>
    <row r="76" spans="2:34" x14ac:dyDescent="0.25">
      <c r="B76" s="17"/>
      <c r="K76" s="18"/>
      <c r="AA76" s="437"/>
      <c r="AB76" s="437"/>
      <c r="AC76" s="437"/>
      <c r="AD76" s="437"/>
      <c r="AE76" s="437"/>
      <c r="AF76" s="437"/>
      <c r="AG76" s="437"/>
      <c r="AH76" s="437"/>
    </row>
    <row r="77" spans="2:34" ht="24" thickBot="1" x14ac:dyDescent="0.4">
      <c r="B77" s="35" t="str">
        <f>IF(AND(J74="rigtig",J70="rigtig"),"Sådan! Du fik afstemt reaktionsskemaet korrekt!","")</f>
        <v/>
      </c>
      <c r="C77" s="37"/>
      <c r="D77" s="37"/>
      <c r="E77" s="37"/>
      <c r="F77" s="37"/>
      <c r="G77" s="37"/>
      <c r="H77" s="37"/>
      <c r="I77" s="37"/>
      <c r="J77" s="37"/>
      <c r="K77" s="18"/>
      <c r="AA77" s="437"/>
      <c r="AB77" s="437"/>
      <c r="AC77" s="437"/>
      <c r="AD77" s="437"/>
      <c r="AE77" s="437"/>
      <c r="AF77" s="437"/>
      <c r="AG77" s="437"/>
      <c r="AH77" s="437"/>
    </row>
    <row r="78" spans="2:34" x14ac:dyDescent="0.25">
      <c r="B78" s="17"/>
      <c r="K78" s="18"/>
      <c r="AA78" s="437"/>
      <c r="AB78" s="437"/>
      <c r="AC78" s="437"/>
      <c r="AD78" s="437"/>
      <c r="AE78" s="437"/>
      <c r="AF78" s="437"/>
      <c r="AG78" s="437"/>
      <c r="AH78" s="437"/>
    </row>
    <row r="79" spans="2:34" x14ac:dyDescent="0.25">
      <c r="B79" s="17"/>
      <c r="K79" s="18"/>
      <c r="AA79" s="437"/>
      <c r="AB79" s="437"/>
      <c r="AC79" s="437"/>
      <c r="AD79" s="437"/>
      <c r="AE79" s="437"/>
      <c r="AF79" s="437"/>
      <c r="AG79" s="437"/>
      <c r="AH79" s="437"/>
    </row>
    <row r="80" spans="2:34" ht="28.5" x14ac:dyDescent="0.45">
      <c r="B80" s="40" t="s">
        <v>91</v>
      </c>
      <c r="C80" s="41" t="str">
        <f>IF(OR(TRIM(C82)=AA82,TRIM(C82)=AA81,TRIM(C82)="+"&amp;AA82,TRIM(C82)="+"&amp;AA81),"Rigtig",IF(TRIM(C82)="","","Forkert"))</f>
        <v/>
      </c>
      <c r="D80" s="41" t="str">
        <f>IF(OR(TRIM(D82)=AB82,TRIM(D82)=AB81,TRIM(D82)="+"&amp;AB82,TRIM(D82)="+"&amp;AB81),"Rigtig",IF(TRIM(D82)="","","Forkert"))</f>
        <v/>
      </c>
      <c r="E80" s="36"/>
      <c r="F80" s="36"/>
      <c r="G80" s="41" t="str">
        <f>IF(OR(TRIM(G82)=AE82,TRIM(G82)=AE81,TRIM(G82)="+"&amp;AE82,TRIM(G82)="+"&amp;AE81),"Rigtig",IF(TRIM(G82)="","","Forkert"))</f>
        <v/>
      </c>
      <c r="H80" s="41" t="str">
        <f>IF(OR(TRIM(H82)=AF82,TRIM(H82)=AF81,TRIM(H82)="+"&amp;AF82,TRIM(H82)="+"&amp;AF81),"Rigtig",IF(TRIM(H82)="","","Forkert"))</f>
        <v/>
      </c>
      <c r="I80" s="36"/>
      <c r="J80" s="36"/>
      <c r="K80" s="18"/>
      <c r="AA80" s="437" t="s">
        <v>584</v>
      </c>
      <c r="AB80" s="437" t="s">
        <v>590</v>
      </c>
      <c r="AC80" s="437"/>
      <c r="AD80" s="437"/>
      <c r="AE80" s="437"/>
      <c r="AF80" s="437"/>
      <c r="AG80" s="437"/>
      <c r="AH80" s="437"/>
    </row>
    <row r="81" spans="2:34" ht="18.75" x14ac:dyDescent="0.3">
      <c r="B81" s="33" t="s">
        <v>553</v>
      </c>
      <c r="C81" s="270" t="str">
        <f>"OT("&amp;AA80&amp;")"</f>
        <v>OT(Cr)</v>
      </c>
      <c r="D81" s="270" t="str">
        <f>"OT("&amp;AB80&amp;")"</f>
        <v>OT(Br)</v>
      </c>
      <c r="G81" s="264" t="str">
        <f>"OT("&amp;AA80&amp;")"</f>
        <v>OT(Cr)</v>
      </c>
      <c r="H81" s="264" t="str">
        <f>"OT("&amp;AB80&amp;")"</f>
        <v>OT(Br)</v>
      </c>
      <c r="K81" s="18"/>
      <c r="AA81" s="458" t="s">
        <v>538</v>
      </c>
      <c r="AB81" s="438" t="s">
        <v>530</v>
      </c>
      <c r="AC81" s="438"/>
      <c r="AD81" s="438"/>
      <c r="AE81" s="438" t="s">
        <v>540</v>
      </c>
      <c r="AF81" s="438" t="s">
        <v>513</v>
      </c>
      <c r="AG81" s="437"/>
      <c r="AH81" s="437"/>
    </row>
    <row r="82" spans="2:34" x14ac:dyDescent="0.25">
      <c r="B82" s="17" t="s">
        <v>600</v>
      </c>
      <c r="C82" s="29"/>
      <c r="D82" s="29"/>
      <c r="E82" s="44"/>
      <c r="F82" s="45"/>
      <c r="G82" s="29"/>
      <c r="H82" s="29"/>
      <c r="I82" s="44"/>
      <c r="K82" s="18"/>
      <c r="AA82" s="438" t="s">
        <v>493</v>
      </c>
      <c r="AB82" s="438" t="s">
        <v>530</v>
      </c>
      <c r="AC82" s="438"/>
      <c r="AD82" s="438"/>
      <c r="AE82" s="438" t="s">
        <v>494</v>
      </c>
      <c r="AF82" s="438" t="s">
        <v>511</v>
      </c>
      <c r="AG82" s="437"/>
      <c r="AH82" s="437"/>
    </row>
    <row r="83" spans="2:34" ht="18.75" x14ac:dyDescent="0.3">
      <c r="B83" s="17" t="s">
        <v>587</v>
      </c>
      <c r="C83" s="379" t="str">
        <f>IF(E86&lt;&gt;1,E86,"")&amp;AA83&amp;"    +"</f>
        <v>Cr(OH)₃    +</v>
      </c>
      <c r="D83" s="378" t="str">
        <f>IF(OR(E87=1,E87=""),"",E87/2)&amp;AB83&amp;"    +"</f>
        <v>Br₂    +</v>
      </c>
      <c r="E83" s="378" t="str">
        <f>IF(J90="rigtig",H90&amp;AC83,"")</f>
        <v/>
      </c>
      <c r="F83" s="378" t="s">
        <v>48</v>
      </c>
      <c r="G83" s="378" t="str">
        <f>IF(E86&lt;&gt;1,E86,"")&amp;AE83&amp;"    +"</f>
        <v>CrO₄²⁻    +</v>
      </c>
      <c r="H83" s="378" t="str">
        <f>IF(E87&lt;&gt;1,E87,"")&amp;AF83&amp;IF(J94="rigtig","    +","")</f>
        <v>Br⁻</v>
      </c>
      <c r="I83" s="411" t="str">
        <f>IF(J94="Rigtig",AF94&amp;AG83,"")</f>
        <v/>
      </c>
      <c r="K83" s="18"/>
      <c r="AA83" s="437" t="s">
        <v>588</v>
      </c>
      <c r="AB83" s="437" t="s">
        <v>204</v>
      </c>
      <c r="AC83" s="437" t="s">
        <v>156</v>
      </c>
      <c r="AD83" s="437"/>
      <c r="AE83" s="437" t="s">
        <v>498</v>
      </c>
      <c r="AF83" s="437" t="s">
        <v>133</v>
      </c>
      <c r="AG83" s="437" t="s">
        <v>50</v>
      </c>
      <c r="AH83" s="437"/>
    </row>
    <row r="84" spans="2:34" x14ac:dyDescent="0.25">
      <c r="B84" s="17"/>
      <c r="K84" s="18"/>
      <c r="AA84" s="437"/>
      <c r="AB84" s="437"/>
      <c r="AC84" s="437"/>
      <c r="AD84" s="437"/>
      <c r="AE84" s="437"/>
      <c r="AF84" s="437"/>
      <c r="AG84" s="437"/>
      <c r="AH84" s="437"/>
    </row>
    <row r="85" spans="2:34" ht="18.75" x14ac:dyDescent="0.3">
      <c r="B85" s="33" t="s">
        <v>554</v>
      </c>
      <c r="C85" s="362" t="s">
        <v>577</v>
      </c>
      <c r="D85" s="362" t="s">
        <v>123</v>
      </c>
      <c r="E85" s="362" t="s">
        <v>558</v>
      </c>
      <c r="F85" s="362" t="s">
        <v>559</v>
      </c>
      <c r="G85" s="503" t="s">
        <v>560</v>
      </c>
      <c r="H85" s="504"/>
      <c r="I85" s="505"/>
      <c r="K85" s="18"/>
      <c r="AA85" s="437"/>
      <c r="AB85" s="437"/>
      <c r="AC85" s="437"/>
      <c r="AD85" s="437"/>
      <c r="AE85" s="437"/>
      <c r="AF85" s="437"/>
      <c r="AG85" s="437"/>
      <c r="AH85" s="437"/>
    </row>
    <row r="86" spans="2:34" ht="18.75" x14ac:dyDescent="0.3">
      <c r="B86" s="17" t="str">
        <f>"Ændringen i OT for "&amp;AA80</f>
        <v>Ændringen i OT for Cr</v>
      </c>
      <c r="C86" s="32"/>
      <c r="D86" s="265" t="str">
        <f>IF(C86=AA86,"Rigtig",IF(C86="","","Forkert"))</f>
        <v/>
      </c>
      <c r="E86" s="12"/>
      <c r="F86" s="264">
        <f>E86*C86</f>
        <v>0</v>
      </c>
      <c r="G86" s="514" t="str">
        <f>IF(AND(ABS(F86)=ABS(F87),F86=AB86),"Rigtig",IF(OR(E86="",E87=""),"",IF(ABS(F86)=ABS(F87),"Undgå halve tal i reaktionsskemaet","Forkert")))</f>
        <v/>
      </c>
      <c r="H86" s="515"/>
      <c r="I86" s="516"/>
      <c r="K86" s="18"/>
      <c r="AA86" s="437">
        <v>3</v>
      </c>
      <c r="AB86" s="437">
        <v>6</v>
      </c>
      <c r="AC86" s="437"/>
      <c r="AD86" s="437"/>
      <c r="AE86" s="437"/>
      <c r="AF86" s="437"/>
      <c r="AG86" s="437"/>
      <c r="AH86" s="437"/>
    </row>
    <row r="87" spans="2:34" ht="18.75" x14ac:dyDescent="0.3">
      <c r="B87" s="17" t="str">
        <f>"Ændringen i OT for "&amp;AB80</f>
        <v>Ændringen i OT for Br</v>
      </c>
      <c r="C87" s="32"/>
      <c r="D87" s="265" t="str">
        <f>IF(C87=AA87,"Rigtig",IF(C87="","","Forkert"))</f>
        <v/>
      </c>
      <c r="E87" s="12"/>
      <c r="F87" s="264">
        <f>E87*C87</f>
        <v>0</v>
      </c>
      <c r="G87" s="517"/>
      <c r="H87" s="518"/>
      <c r="I87" s="519"/>
      <c r="K87" s="18"/>
      <c r="AA87" s="437">
        <v>-1</v>
      </c>
      <c r="AB87" s="437"/>
      <c r="AC87" s="437"/>
      <c r="AD87" s="437"/>
      <c r="AE87" s="437"/>
      <c r="AF87" s="437"/>
      <c r="AG87" s="437"/>
      <c r="AH87" s="437"/>
    </row>
    <row r="88" spans="2:34" x14ac:dyDescent="0.25">
      <c r="B88" s="17"/>
      <c r="K88" s="18"/>
      <c r="AA88" s="437"/>
      <c r="AB88" s="437"/>
      <c r="AC88" s="437"/>
      <c r="AD88" s="437"/>
      <c r="AE88" s="437"/>
      <c r="AF88" s="437"/>
      <c r="AG88" s="437"/>
      <c r="AH88" s="437"/>
    </row>
    <row r="89" spans="2:34" ht="18.75" x14ac:dyDescent="0.3">
      <c r="B89" s="33" t="s">
        <v>557</v>
      </c>
      <c r="C89" s="362" t="s">
        <v>568</v>
      </c>
      <c r="D89" s="362" t="s">
        <v>123</v>
      </c>
      <c r="F89" s="363" t="str">
        <f>"Tilføjelse af "&amp;AC83&amp;" i "&amp;B83</f>
        <v>Tilføjelse af OH⁻ i basisk miljø</v>
      </c>
      <c r="G89" s="364"/>
      <c r="H89" s="264" t="s">
        <v>561</v>
      </c>
      <c r="I89" s="264" t="s">
        <v>562</v>
      </c>
      <c r="J89" s="264" t="s">
        <v>123</v>
      </c>
      <c r="K89" s="18"/>
      <c r="AA89" s="437"/>
      <c r="AB89" s="437"/>
      <c r="AC89" s="437"/>
      <c r="AD89" s="437"/>
      <c r="AE89" s="437"/>
      <c r="AF89" s="437"/>
      <c r="AG89" s="437"/>
      <c r="AH89" s="437"/>
    </row>
    <row r="90" spans="2:34" ht="18.75" x14ac:dyDescent="0.3">
      <c r="B90" s="17" t="s">
        <v>565</v>
      </c>
      <c r="C90" s="38"/>
      <c r="D90" s="265" t="str">
        <f>IF(C90="","",IF(C90=AA90,"Rigtig","Forkert"))</f>
        <v/>
      </c>
      <c r="F90" s="512" t="str">
        <f>"Hvor mange "&amp;AC83&amp;" skal tilføjes?"</f>
        <v>Hvor mange OH⁻ skal tilføjes?</v>
      </c>
      <c r="G90" s="513"/>
      <c r="H90" s="12"/>
      <c r="I90" s="12"/>
      <c r="J90" s="265" t="str">
        <f>IF(AND(H90="",I90=""),"",IF(AND(H90=AD90,I90=AE90),"Rigtig",IF(AND(OR(H90="",H90=AD90),OR(I90="",I90=AE90)),"","Forkert")))</f>
        <v/>
      </c>
      <c r="K90" s="18"/>
      <c r="AA90" s="437">
        <v>0</v>
      </c>
      <c r="AB90" s="437"/>
      <c r="AC90" s="437"/>
      <c r="AD90" s="437">
        <v>10</v>
      </c>
      <c r="AE90" s="437"/>
      <c r="AF90" s="437"/>
      <c r="AG90" s="437"/>
      <c r="AH90" s="437"/>
    </row>
    <row r="91" spans="2:34" ht="18.75" x14ac:dyDescent="0.3">
      <c r="B91" s="17" t="s">
        <v>564</v>
      </c>
      <c r="C91" s="38"/>
      <c r="D91" s="265" t="str">
        <f>IF(C91="","",IF(C91=AA91,"Rigtig","Forkert"))</f>
        <v/>
      </c>
      <c r="K91" s="18"/>
      <c r="AA91" s="437">
        <v>-10</v>
      </c>
      <c r="AB91" s="437"/>
      <c r="AC91" s="437"/>
      <c r="AD91" s="437"/>
      <c r="AE91" s="437"/>
      <c r="AF91" s="437"/>
      <c r="AG91" s="437"/>
      <c r="AH91" s="437"/>
    </row>
    <row r="92" spans="2:34" x14ac:dyDescent="0.25">
      <c r="B92" s="17"/>
      <c r="K92" s="18"/>
      <c r="AA92" s="437"/>
      <c r="AB92" s="437"/>
      <c r="AC92" s="437"/>
      <c r="AD92" s="437"/>
      <c r="AE92" s="437"/>
      <c r="AF92" s="437"/>
      <c r="AG92" s="437"/>
      <c r="AH92" s="437"/>
    </row>
    <row r="93" spans="2:34" ht="18.75" x14ac:dyDescent="0.3">
      <c r="B93" s="33" t="s">
        <v>566</v>
      </c>
      <c r="C93" s="362" t="s">
        <v>571</v>
      </c>
      <c r="D93" s="362" t="s">
        <v>123</v>
      </c>
      <c r="F93" s="503" t="s">
        <v>573</v>
      </c>
      <c r="G93" s="505"/>
      <c r="H93" s="264" t="s">
        <v>561</v>
      </c>
      <c r="I93" s="264" t="s">
        <v>562</v>
      </c>
      <c r="J93" s="264" t="s">
        <v>123</v>
      </c>
      <c r="K93" s="18"/>
      <c r="AA93" s="437"/>
      <c r="AB93" s="437"/>
      <c r="AC93" s="437"/>
      <c r="AD93" s="437"/>
      <c r="AE93" s="437"/>
      <c r="AF93" s="437"/>
      <c r="AG93" s="437"/>
      <c r="AH93" s="437"/>
    </row>
    <row r="94" spans="2:34" ht="18.75" x14ac:dyDescent="0.3">
      <c r="B94" s="17" t="s">
        <v>567</v>
      </c>
      <c r="C94" s="29"/>
      <c r="D94" s="265" t="str">
        <f>IF(C94=AA94,"Rigtig",IF(C94="","","Forkert"))</f>
        <v/>
      </c>
      <c r="F94" s="501" t="s">
        <v>572</v>
      </c>
      <c r="G94" s="502"/>
      <c r="H94" s="12"/>
      <c r="I94" s="12"/>
      <c r="J94" s="265" t="str">
        <f>IF(AND(H94=AE94,I94=AF94),"Rigtig",IF(AND(H94="",I94=""),"","Forkert"))</f>
        <v/>
      </c>
      <c r="K94" s="18"/>
      <c r="AA94" s="438" t="s">
        <v>580</v>
      </c>
      <c r="AB94" s="437"/>
      <c r="AC94" s="437"/>
      <c r="AD94" s="437"/>
      <c r="AE94" s="437"/>
      <c r="AF94" s="437">
        <v>8</v>
      </c>
      <c r="AG94" s="437"/>
      <c r="AH94" s="437"/>
    </row>
    <row r="95" spans="2:34" ht="18.75" x14ac:dyDescent="0.3">
      <c r="B95" s="17" t="s">
        <v>569</v>
      </c>
      <c r="C95" s="29"/>
      <c r="D95" s="265" t="str">
        <f>IF(C95=AA95,"Rigtig",IF(C95="","","Forkert"))</f>
        <v/>
      </c>
      <c r="K95" s="18"/>
      <c r="AA95" s="438" t="s">
        <v>530</v>
      </c>
      <c r="AB95" s="437"/>
      <c r="AC95" s="437"/>
      <c r="AD95" s="437"/>
      <c r="AE95" s="437"/>
      <c r="AF95" s="437"/>
      <c r="AG95" s="437"/>
      <c r="AH95" s="437"/>
    </row>
    <row r="96" spans="2:34" x14ac:dyDescent="0.25">
      <c r="AA96" s="437"/>
      <c r="AB96" s="437"/>
      <c r="AC96" s="437"/>
      <c r="AD96" s="437"/>
      <c r="AE96" s="437"/>
      <c r="AF96" s="437"/>
      <c r="AG96" s="437"/>
      <c r="AH96" s="437"/>
    </row>
    <row r="97" spans="2:34" ht="24" thickBot="1" x14ac:dyDescent="0.4">
      <c r="B97" s="35" t="str">
        <f>IF(AND(J94="rigtig",J90="rigtig"),"Sådan! Du fik afstemt reaktionsskemaet korrekt!","")</f>
        <v/>
      </c>
      <c r="C97" s="37"/>
      <c r="D97" s="37"/>
      <c r="E97" s="37"/>
      <c r="F97" s="37"/>
      <c r="G97" s="37"/>
      <c r="H97" s="37"/>
      <c r="I97" s="37"/>
      <c r="J97" s="37"/>
      <c r="K97" s="18"/>
      <c r="AA97" s="437"/>
      <c r="AB97" s="437"/>
      <c r="AC97" s="437"/>
      <c r="AD97" s="437"/>
      <c r="AE97" s="437"/>
      <c r="AF97" s="437"/>
      <c r="AG97" s="437"/>
      <c r="AH97" s="437"/>
    </row>
    <row r="98" spans="2:34" x14ac:dyDescent="0.25">
      <c r="B98" s="17"/>
      <c r="K98" s="18"/>
      <c r="AA98" s="437"/>
      <c r="AB98" s="437"/>
      <c r="AC98" s="437"/>
      <c r="AD98" s="437"/>
      <c r="AE98" s="437"/>
      <c r="AF98" s="437"/>
      <c r="AG98" s="437"/>
      <c r="AH98" s="437"/>
    </row>
    <row r="99" spans="2:34" ht="28.5" x14ac:dyDescent="0.45">
      <c r="B99" s="40" t="s">
        <v>105</v>
      </c>
      <c r="C99" s="41" t="str">
        <f>IF(OR(TRIM(C101)=AA101,TRIM(C101)=AA100,TRIM(C101)="+"&amp;AA101,TRIM(C101)="+"&amp;AA100),"Rigtig",IF(TRIM(C101)="","","Forkert"))</f>
        <v/>
      </c>
      <c r="D99" s="41" t="str">
        <f>IF(OR(TRIM(D101)=AB101,TRIM(D101)=AB100,TRIM(D101)="+"&amp;AB101,TRIM(D101)="+"&amp;AB100),"Rigtig",IF(TRIM(D101)="","","Forkert"))</f>
        <v/>
      </c>
      <c r="E99" s="36"/>
      <c r="F99" s="36"/>
      <c r="G99" s="41" t="str">
        <f>IF(OR(TRIM(G101)=AE101,TRIM(G101)=AE100,TRIM(G101)="+"&amp;AE101,TRIM(G101)="+"&amp;AE100),"Rigtig",IF(TRIM(G101)="","","Forkert"))</f>
        <v/>
      </c>
      <c r="H99" s="41" t="str">
        <f>IF(OR(TRIM(H101)=AF101,TRIM(H101)=AF100,TRIM(H101)="+"&amp;AF101,TRIM(H101)="+"&amp;AF100),"Rigtig",IF(TRIM(H101)="","","Forkert"))</f>
        <v/>
      </c>
      <c r="I99" s="36"/>
      <c r="J99" s="36"/>
      <c r="K99" s="18"/>
      <c r="AA99" s="437" t="s">
        <v>591</v>
      </c>
      <c r="AB99" s="437" t="s">
        <v>593</v>
      </c>
      <c r="AC99" s="437"/>
      <c r="AD99" s="437"/>
      <c r="AE99" s="437"/>
      <c r="AF99" s="437"/>
      <c r="AG99" s="437"/>
      <c r="AH99" s="437"/>
    </row>
    <row r="100" spans="2:34" ht="18.75" x14ac:dyDescent="0.3">
      <c r="B100" s="33" t="s">
        <v>553</v>
      </c>
      <c r="C100" s="270" t="str">
        <f>"OT("&amp;AA99&amp;")"</f>
        <v>OT(Ag)</v>
      </c>
      <c r="D100" s="270" t="str">
        <f>"OT("&amp;AB99&amp;")"</f>
        <v>OT(Zn)</v>
      </c>
      <c r="G100" s="264" t="str">
        <f>"OT("&amp;AA99&amp;")"</f>
        <v>OT(Ag)</v>
      </c>
      <c r="H100" s="264" t="str">
        <f>"OT("&amp;AB99&amp;")"</f>
        <v>OT(Zn)</v>
      </c>
      <c r="K100" s="18"/>
      <c r="AA100" s="458" t="s">
        <v>530</v>
      </c>
      <c r="AB100" s="438" t="s">
        <v>533</v>
      </c>
      <c r="AC100" s="438"/>
      <c r="AD100" s="438"/>
      <c r="AE100" s="438" t="s">
        <v>537</v>
      </c>
      <c r="AF100" s="438" t="s">
        <v>530</v>
      </c>
      <c r="AG100" s="437"/>
      <c r="AH100" s="437"/>
    </row>
    <row r="101" spans="2:34" x14ac:dyDescent="0.25">
      <c r="B101" s="17" t="s">
        <v>600</v>
      </c>
      <c r="C101" s="29"/>
      <c r="D101" s="29"/>
      <c r="E101" s="44"/>
      <c r="F101" s="45"/>
      <c r="G101" s="29"/>
      <c r="H101" s="29"/>
      <c r="I101" s="44"/>
      <c r="K101" s="18"/>
      <c r="AA101" s="438" t="s">
        <v>530</v>
      </c>
      <c r="AB101" s="438" t="s">
        <v>489</v>
      </c>
      <c r="AC101" s="438"/>
      <c r="AD101" s="438"/>
      <c r="AE101" s="438" t="s">
        <v>492</v>
      </c>
      <c r="AF101" s="438" t="s">
        <v>530</v>
      </c>
      <c r="AG101" s="437"/>
      <c r="AH101" s="437"/>
    </row>
    <row r="102" spans="2:34" ht="21" x14ac:dyDescent="0.35">
      <c r="B102" s="17" t="s">
        <v>587</v>
      </c>
      <c r="C102" s="408" t="str">
        <f>IF(E105&lt;&gt;1,E105,"")&amp;AA102&amp;"    +"</f>
        <v>Ag    +</v>
      </c>
      <c r="D102" s="409" t="str">
        <f>IF(OR(E106=1,E106=""),"",E106/1)&amp;AB102&amp;"    +"</f>
        <v>Zn²⁺    +</v>
      </c>
      <c r="E102" s="409" t="str">
        <f>IF(J109="rigtig",H109&amp;AC102,"")</f>
        <v/>
      </c>
      <c r="F102" s="409" t="s">
        <v>48</v>
      </c>
      <c r="G102" s="409" t="str">
        <f>IF(OR(E105=1,E105="",E105/2=1),"",E105/2)&amp;AE102&amp;"    +"</f>
        <v>Ag₂O    +</v>
      </c>
      <c r="H102" s="409" t="str">
        <f>IF(E106&lt;&gt;1,E106,"")&amp;AF102&amp;IF(J113="rigtig","    +","")</f>
        <v>Zn</v>
      </c>
      <c r="I102" s="410" t="str">
        <f>IF(J113="Rigtig",IF(AF113=1,"",AF113)&amp;AG102,"")</f>
        <v/>
      </c>
      <c r="K102" s="18"/>
      <c r="AA102" s="437" t="s">
        <v>591</v>
      </c>
      <c r="AB102" s="437" t="s">
        <v>431</v>
      </c>
      <c r="AC102" s="437" t="s">
        <v>156</v>
      </c>
      <c r="AD102" s="437"/>
      <c r="AE102" s="437" t="s">
        <v>592</v>
      </c>
      <c r="AF102" s="437" t="s">
        <v>593</v>
      </c>
      <c r="AG102" s="437" t="s">
        <v>50</v>
      </c>
      <c r="AH102" s="437"/>
    </row>
    <row r="103" spans="2:34" x14ac:dyDescent="0.25">
      <c r="B103" s="17"/>
      <c r="K103" s="18"/>
      <c r="AA103" s="437"/>
      <c r="AB103" s="437"/>
      <c r="AC103" s="437"/>
      <c r="AD103" s="437"/>
      <c r="AE103" s="437"/>
      <c r="AF103" s="437"/>
      <c r="AG103" s="437"/>
      <c r="AH103" s="437"/>
    </row>
    <row r="104" spans="2:34" ht="18.75" x14ac:dyDescent="0.3">
      <c r="B104" s="33" t="s">
        <v>554</v>
      </c>
      <c r="C104" s="362" t="s">
        <v>577</v>
      </c>
      <c r="D104" s="362" t="s">
        <v>123</v>
      </c>
      <c r="E104" s="362" t="s">
        <v>558</v>
      </c>
      <c r="F104" s="362" t="s">
        <v>559</v>
      </c>
      <c r="G104" s="503" t="s">
        <v>560</v>
      </c>
      <c r="H104" s="504"/>
      <c r="I104" s="505"/>
      <c r="K104" s="18"/>
      <c r="AA104" s="437"/>
      <c r="AB104" s="437"/>
      <c r="AC104" s="437"/>
      <c r="AD104" s="437"/>
      <c r="AE104" s="437"/>
      <c r="AF104" s="437"/>
      <c r="AG104" s="437"/>
      <c r="AH104" s="437"/>
    </row>
    <row r="105" spans="2:34" ht="18.75" x14ac:dyDescent="0.3">
      <c r="B105" s="17" t="str">
        <f>"Ændringen i OT for "&amp;AA99</f>
        <v>Ændringen i OT for Ag</v>
      </c>
      <c r="C105" s="32"/>
      <c r="D105" s="265" t="str">
        <f>IF(C105=AA105,"Rigtig",IF(C105="","","Forkert"))</f>
        <v/>
      </c>
      <c r="E105" s="12"/>
      <c r="F105" s="264">
        <f>E105*C105</f>
        <v>0</v>
      </c>
      <c r="G105" s="514" t="str">
        <f>IF(AND(ABS(F105)=ABS(F106),F105=AB105),"Rigtig",IF(OR(E105="",E106=""),"",IF(ABS(F105)=ABS(F106),"Undgå halve tal i reaktionsskemaet","Forkert")))</f>
        <v/>
      </c>
      <c r="H105" s="515"/>
      <c r="I105" s="516"/>
      <c r="K105" s="18"/>
      <c r="AA105" s="437">
        <v>1</v>
      </c>
      <c r="AB105" s="437">
        <v>2</v>
      </c>
      <c r="AC105" s="437"/>
      <c r="AD105" s="437"/>
      <c r="AE105" s="437"/>
      <c r="AF105" s="437"/>
      <c r="AG105" s="437"/>
      <c r="AH105" s="437"/>
    </row>
    <row r="106" spans="2:34" ht="18.75" x14ac:dyDescent="0.3">
      <c r="B106" s="17" t="str">
        <f>"Ændringen i OT for "&amp;AB99</f>
        <v>Ændringen i OT for Zn</v>
      </c>
      <c r="C106" s="32"/>
      <c r="D106" s="265" t="str">
        <f>IF(C106=AA106,"Rigtig",IF(C106="","","Forkert"))</f>
        <v/>
      </c>
      <c r="E106" s="12"/>
      <c r="F106" s="264">
        <f>E106*C106</f>
        <v>0</v>
      </c>
      <c r="G106" s="517"/>
      <c r="H106" s="518"/>
      <c r="I106" s="519"/>
      <c r="K106" s="18"/>
      <c r="AA106" s="437">
        <v>-2</v>
      </c>
      <c r="AB106" s="437"/>
      <c r="AC106" s="437"/>
      <c r="AD106" s="437"/>
      <c r="AE106" s="437"/>
      <c r="AF106" s="437"/>
      <c r="AG106" s="437"/>
      <c r="AH106" s="437"/>
    </row>
    <row r="107" spans="2:34" x14ac:dyDescent="0.25">
      <c r="B107" s="17"/>
      <c r="K107" s="18"/>
      <c r="AA107" s="437"/>
      <c r="AB107" s="437"/>
      <c r="AC107" s="437"/>
      <c r="AD107" s="437"/>
      <c r="AE107" s="437"/>
      <c r="AF107" s="437"/>
      <c r="AG107" s="437"/>
      <c r="AH107" s="437"/>
    </row>
    <row r="108" spans="2:34" ht="18.75" x14ac:dyDescent="0.3">
      <c r="B108" s="33" t="s">
        <v>557</v>
      </c>
      <c r="C108" s="362" t="s">
        <v>568</v>
      </c>
      <c r="D108" s="362" t="s">
        <v>123</v>
      </c>
      <c r="F108" s="363" t="str">
        <f>"Tilføjelse af "&amp;AC102&amp;" i "&amp;B102</f>
        <v>Tilføjelse af OH⁻ i basisk miljø</v>
      </c>
      <c r="G108" s="364"/>
      <c r="H108" s="264" t="s">
        <v>561</v>
      </c>
      <c r="I108" s="264" t="s">
        <v>562</v>
      </c>
      <c r="J108" s="264" t="s">
        <v>123</v>
      </c>
      <c r="K108" s="18"/>
      <c r="AA108" s="437"/>
      <c r="AB108" s="437"/>
      <c r="AC108" s="437"/>
      <c r="AD108" s="437"/>
      <c r="AE108" s="437"/>
      <c r="AF108" s="437"/>
      <c r="AG108" s="437"/>
      <c r="AH108" s="437"/>
    </row>
    <row r="109" spans="2:34" ht="18.75" x14ac:dyDescent="0.3">
      <c r="B109" s="17" t="s">
        <v>565</v>
      </c>
      <c r="C109" s="38"/>
      <c r="D109" s="265" t="str">
        <f>IF(C109="","",IF(C109=AA109,"Rigtig","Forkert"))</f>
        <v/>
      </c>
      <c r="F109" s="512" t="str">
        <f>"Hvor mange "&amp;AC102&amp;" skal tilføjes?"</f>
        <v>Hvor mange OH⁻ skal tilføjes?</v>
      </c>
      <c r="G109" s="513"/>
      <c r="H109" s="12"/>
      <c r="I109" s="12"/>
      <c r="J109" s="265" t="str">
        <f>IF(AND(H109="",I109=""),"",IF(AND(H109=AD109,I109=AE109),"Rigtig",IF(AND(OR(H109="",H109=AD109),OR(I109="",I109=AE109)),"","Forkert")))</f>
        <v/>
      </c>
      <c r="K109" s="18"/>
      <c r="AA109" s="437">
        <v>2</v>
      </c>
      <c r="AB109" s="437"/>
      <c r="AC109" s="437"/>
      <c r="AD109" s="437">
        <v>2</v>
      </c>
      <c r="AE109" s="437"/>
      <c r="AF109" s="437"/>
      <c r="AG109" s="437"/>
      <c r="AH109" s="437"/>
    </row>
    <row r="110" spans="2:34" ht="18.75" x14ac:dyDescent="0.3">
      <c r="B110" s="17" t="s">
        <v>564</v>
      </c>
      <c r="C110" s="38"/>
      <c r="D110" s="265" t="str">
        <f>IF(C110="","",IF(C110=AA110,"Rigtig","Forkert"))</f>
        <v/>
      </c>
      <c r="K110" s="18"/>
      <c r="AA110" s="437">
        <v>0</v>
      </c>
      <c r="AB110" s="437"/>
      <c r="AC110" s="437"/>
      <c r="AD110" s="437"/>
      <c r="AE110" s="437"/>
      <c r="AF110" s="437"/>
      <c r="AG110" s="437"/>
      <c r="AH110" s="437"/>
    </row>
    <row r="111" spans="2:34" x14ac:dyDescent="0.25">
      <c r="B111" s="17"/>
      <c r="K111" s="18"/>
      <c r="AA111" s="437"/>
      <c r="AB111" s="437"/>
      <c r="AC111" s="437"/>
      <c r="AD111" s="437"/>
      <c r="AE111" s="437"/>
      <c r="AF111" s="437"/>
      <c r="AG111" s="437"/>
      <c r="AH111" s="437"/>
    </row>
    <row r="112" spans="2:34" ht="18.75" x14ac:dyDescent="0.3">
      <c r="B112" s="33" t="s">
        <v>566</v>
      </c>
      <c r="C112" s="362" t="s">
        <v>571</v>
      </c>
      <c r="D112" s="362" t="s">
        <v>123</v>
      </c>
      <c r="F112" s="503" t="s">
        <v>573</v>
      </c>
      <c r="G112" s="505"/>
      <c r="H112" s="264" t="s">
        <v>561</v>
      </c>
      <c r="I112" s="264" t="s">
        <v>562</v>
      </c>
      <c r="J112" s="264" t="s">
        <v>123</v>
      </c>
      <c r="K112" s="18"/>
      <c r="AA112" s="437"/>
      <c r="AB112" s="437"/>
      <c r="AC112" s="437"/>
      <c r="AD112" s="437"/>
      <c r="AE112" s="437"/>
      <c r="AF112" s="437"/>
      <c r="AG112" s="437"/>
      <c r="AH112" s="437"/>
    </row>
    <row r="113" spans="2:34" ht="18.75" x14ac:dyDescent="0.3">
      <c r="B113" s="17" t="s">
        <v>567</v>
      </c>
      <c r="C113" s="29"/>
      <c r="D113" s="265" t="str">
        <f>IF(C113=AA113,"Rigtig",IF(C113="","","Forkert"))</f>
        <v/>
      </c>
      <c r="F113" s="501" t="s">
        <v>572</v>
      </c>
      <c r="G113" s="502"/>
      <c r="H113" s="12"/>
      <c r="I113" s="12"/>
      <c r="J113" s="265" t="str">
        <f>IF(AND(H113=AE113,I113=AF113),"Rigtig",IF(AND(H113="",I113=""),"","Forkert"))</f>
        <v/>
      </c>
      <c r="K113" s="18"/>
      <c r="AA113" s="438" t="s">
        <v>533</v>
      </c>
      <c r="AB113" s="437"/>
      <c r="AC113" s="437"/>
      <c r="AD113" s="437"/>
      <c r="AE113" s="437"/>
      <c r="AF113" s="437">
        <v>1</v>
      </c>
      <c r="AG113" s="437"/>
      <c r="AH113" s="437"/>
    </row>
    <row r="114" spans="2:34" ht="18.75" x14ac:dyDescent="0.3">
      <c r="B114" s="17" t="s">
        <v>569</v>
      </c>
      <c r="C114" s="29"/>
      <c r="D114" s="265" t="str">
        <f>IF(C114=AA114,"Rigtig",IF(C114="","","Forkert"))</f>
        <v/>
      </c>
      <c r="K114" s="18"/>
      <c r="AA114" s="438" t="s">
        <v>530</v>
      </c>
      <c r="AB114" s="437"/>
      <c r="AC114" s="437"/>
      <c r="AD114" s="437"/>
      <c r="AE114" s="437"/>
      <c r="AF114" s="437"/>
      <c r="AG114" s="437"/>
      <c r="AH114" s="437"/>
    </row>
    <row r="115" spans="2:34" x14ac:dyDescent="0.25">
      <c r="B115" s="17"/>
      <c r="K115" s="18"/>
      <c r="AA115" s="437"/>
      <c r="AB115" s="437"/>
      <c r="AC115" s="437"/>
      <c r="AD115" s="437"/>
      <c r="AE115" s="437"/>
      <c r="AF115" s="437"/>
      <c r="AG115" s="437"/>
      <c r="AH115" s="437"/>
    </row>
    <row r="116" spans="2:34" ht="24" thickBot="1" x14ac:dyDescent="0.4">
      <c r="B116" s="35" t="str">
        <f>IF(AND(J113="rigtig",J109="rigtig"),"Sådan! Du fik afstemt reaktionsskemaet korrekt!","")</f>
        <v/>
      </c>
      <c r="C116" s="37"/>
      <c r="D116" s="37"/>
      <c r="E116" s="37"/>
      <c r="F116" s="37"/>
      <c r="G116" s="37"/>
      <c r="H116" s="37"/>
      <c r="I116" s="37"/>
      <c r="J116" s="37"/>
      <c r="K116" s="18"/>
      <c r="AA116" s="437"/>
      <c r="AB116" s="437"/>
      <c r="AC116" s="437"/>
      <c r="AD116" s="437"/>
      <c r="AE116" s="437"/>
      <c r="AF116" s="437"/>
      <c r="AG116" s="437"/>
      <c r="AH116" s="437"/>
    </row>
    <row r="117" spans="2:34" x14ac:dyDescent="0.25">
      <c r="B117" s="17"/>
      <c r="K117" s="18"/>
      <c r="AA117" s="437"/>
      <c r="AB117" s="437"/>
      <c r="AC117" s="437"/>
      <c r="AD117" s="437"/>
      <c r="AE117" s="437"/>
      <c r="AF117" s="437"/>
      <c r="AG117" s="437"/>
      <c r="AH117" s="437"/>
    </row>
    <row r="118" spans="2:34" ht="28.5" x14ac:dyDescent="0.45">
      <c r="B118" s="40" t="s">
        <v>585</v>
      </c>
      <c r="C118" s="41" t="str">
        <f>IF(OR(TRIM(C120)=AA120,TRIM(C120)=AA119,TRIM(C120)="+"&amp;AA120,TRIM(C120)="+"&amp;AA119),"Rigtig",IF(TRIM(C120)="","","Forkert"))</f>
        <v/>
      </c>
      <c r="D118" s="41" t="str">
        <f>IF(OR(TRIM(D120)=AB120,TRIM(D120)=AB119,TRIM(D120)="+"&amp;AB120,TRIM(D120)="+"&amp;AB119),"Rigtig",IF(TRIM(D120)="","","Forkert"))</f>
        <v/>
      </c>
      <c r="E118" s="36"/>
      <c r="F118" s="36"/>
      <c r="G118" s="41" t="str">
        <f>IF(OR(TRIM(G120)=AE120,TRIM(G120)=AE119,TRIM(G120)="+"&amp;AE120,TRIM(G120)="+"&amp;AE119),"Rigtig",IF(TRIM(G120)="","","Forkert"))</f>
        <v/>
      </c>
      <c r="H118" s="41" t="str">
        <f>IF(OR(TRIM(H120)=AF120,TRIM(H120)=AF119,TRIM(H120)="+"&amp;AF120,TRIM(H120)="+"&amp;AF119),"Rigtig",IF(TRIM(H120)="","","Forkert"))</f>
        <v/>
      </c>
      <c r="I118" s="36"/>
      <c r="J118" s="36"/>
      <c r="K118" s="18"/>
      <c r="AA118" s="437" t="s">
        <v>556</v>
      </c>
      <c r="AB118" s="437" t="s">
        <v>589</v>
      </c>
      <c r="AC118" s="437"/>
      <c r="AD118" s="437"/>
      <c r="AE118" s="437"/>
      <c r="AF118" s="437"/>
      <c r="AG118" s="437"/>
      <c r="AH118" s="437"/>
    </row>
    <row r="119" spans="2:34" ht="18.75" x14ac:dyDescent="0.3">
      <c r="B119" s="33" t="s">
        <v>553</v>
      </c>
      <c r="C119" s="270" t="str">
        <f>"OT("&amp;AA118&amp;")"</f>
        <v>OT(Mn)</v>
      </c>
      <c r="D119" s="270" t="str">
        <f>"OT("&amp;AB118&amp;")"</f>
        <v>OT(S)</v>
      </c>
      <c r="G119" s="264" t="str">
        <f>"OT("&amp;AA118&amp;")"</f>
        <v>OT(Mn)</v>
      </c>
      <c r="H119" s="264" t="str">
        <f>"OT("&amp;AB118&amp;")"</f>
        <v>OT(S)</v>
      </c>
      <c r="K119" s="18"/>
      <c r="AA119" s="458" t="s">
        <v>547</v>
      </c>
      <c r="AB119" s="438" t="s">
        <v>535</v>
      </c>
      <c r="AC119" s="438"/>
      <c r="AD119" s="438"/>
      <c r="AE119" s="438" t="s">
        <v>535</v>
      </c>
      <c r="AF119" s="438" t="s">
        <v>540</v>
      </c>
      <c r="AG119" s="437"/>
      <c r="AH119" s="437"/>
    </row>
    <row r="120" spans="2:34" x14ac:dyDescent="0.25">
      <c r="B120" s="17" t="s">
        <v>600</v>
      </c>
      <c r="C120" s="29"/>
      <c r="D120" s="29"/>
      <c r="E120" s="44"/>
      <c r="F120" s="45"/>
      <c r="G120" s="29"/>
      <c r="H120" s="29"/>
      <c r="I120" s="44"/>
      <c r="K120" s="18"/>
      <c r="AA120" s="438" t="s">
        <v>505</v>
      </c>
      <c r="AB120" s="438" t="s">
        <v>490</v>
      </c>
      <c r="AC120" s="438"/>
      <c r="AD120" s="438"/>
      <c r="AE120" s="438" t="s">
        <v>490</v>
      </c>
      <c r="AF120" s="438" t="s">
        <v>494</v>
      </c>
      <c r="AG120" s="437"/>
      <c r="AH120" s="437"/>
    </row>
    <row r="121" spans="2:34" ht="21" x14ac:dyDescent="0.35">
      <c r="B121" s="17" t="s">
        <v>587</v>
      </c>
      <c r="C121" s="408" t="str">
        <f>IF(E124&lt;&gt;1,E124,"")&amp;AA121&amp;"    +"</f>
        <v>MnO₄⁻    +</v>
      </c>
      <c r="D121" s="409" t="str">
        <f>IF(OR(E125=1,E125=""),"",E125/1)&amp;AB121</f>
        <v>SO₃²⁻</v>
      </c>
      <c r="E121" s="409" t="str">
        <f>IF(J132="Rigtig","+  "&amp;IF(AF132=1,"",AF132)&amp;AG121,"")</f>
        <v/>
      </c>
      <c r="F121" s="409" t="s">
        <v>48</v>
      </c>
      <c r="G121" s="409" t="str">
        <f>IF(E124&lt;&gt;1,E124,"")&amp;AE121&amp;"    +"</f>
        <v>MnO₂    +</v>
      </c>
      <c r="H121" s="409" t="str">
        <f>IF(E125&lt;&gt;1,E125,"")&amp;AF121&amp;IF(J128="rigtig","    +","")</f>
        <v>SO₄²⁻</v>
      </c>
      <c r="I121" s="410" t="str">
        <f>IF(J128="rigtig",I128&amp;AC121,"")</f>
        <v/>
      </c>
      <c r="K121" s="18"/>
      <c r="AA121" s="437" t="s">
        <v>519</v>
      </c>
      <c r="AB121" s="437" t="s">
        <v>468</v>
      </c>
      <c r="AC121" s="437" t="s">
        <v>156</v>
      </c>
      <c r="AD121" s="437"/>
      <c r="AE121" s="437" t="s">
        <v>516</v>
      </c>
      <c r="AF121" s="437" t="s">
        <v>157</v>
      </c>
      <c r="AG121" s="437" t="s">
        <v>50</v>
      </c>
      <c r="AH121" s="437"/>
    </row>
    <row r="122" spans="2:34" x14ac:dyDescent="0.25">
      <c r="B122" s="17"/>
      <c r="K122" s="18"/>
      <c r="AA122" s="437"/>
      <c r="AB122" s="437"/>
      <c r="AC122" s="437"/>
      <c r="AD122" s="437"/>
      <c r="AE122" s="437"/>
      <c r="AF122" s="437"/>
      <c r="AG122" s="437"/>
      <c r="AH122" s="437"/>
    </row>
    <row r="123" spans="2:34" ht="18.75" x14ac:dyDescent="0.3">
      <c r="B123" s="33" t="s">
        <v>554</v>
      </c>
      <c r="C123" s="362" t="s">
        <v>577</v>
      </c>
      <c r="D123" s="362" t="s">
        <v>123</v>
      </c>
      <c r="E123" s="362" t="s">
        <v>558</v>
      </c>
      <c r="F123" s="362" t="s">
        <v>559</v>
      </c>
      <c r="G123" s="503" t="s">
        <v>560</v>
      </c>
      <c r="H123" s="504"/>
      <c r="I123" s="505"/>
      <c r="K123" s="18"/>
      <c r="AA123" s="437"/>
      <c r="AB123" s="437"/>
      <c r="AC123" s="437"/>
      <c r="AD123" s="437"/>
      <c r="AE123" s="437"/>
      <c r="AF123" s="437"/>
      <c r="AG123" s="437"/>
      <c r="AH123" s="437"/>
    </row>
    <row r="124" spans="2:34" ht="18.75" x14ac:dyDescent="0.3">
      <c r="B124" s="17" t="str">
        <f>"Ændringen i OT for "&amp;AA118</f>
        <v>Ændringen i OT for Mn</v>
      </c>
      <c r="C124" s="32"/>
      <c r="D124" s="265" t="str">
        <f>IF(C124=AA124,"Rigtig",IF(C124="","","Forkert"))</f>
        <v/>
      </c>
      <c r="E124" s="12"/>
      <c r="F124" s="264">
        <f>E124*C124</f>
        <v>0</v>
      </c>
      <c r="G124" s="514" t="str">
        <f>IF(AND(ABS(F124)=ABS(F125),ABS(F124)=AB124),"Rigtig",IF(OR(E124="",E125=""),"",IF(ABS(F124)=ABS(F125),"Undgå halve tal i reaktionsskemaet","Forkert")))</f>
        <v/>
      </c>
      <c r="H124" s="515"/>
      <c r="I124" s="516"/>
      <c r="K124" s="18"/>
      <c r="AA124" s="437">
        <v>-3</v>
      </c>
      <c r="AB124" s="437">
        <v>6</v>
      </c>
      <c r="AC124" s="437"/>
      <c r="AD124" s="437"/>
      <c r="AE124" s="437"/>
      <c r="AF124" s="437"/>
      <c r="AG124" s="437"/>
      <c r="AH124" s="437"/>
    </row>
    <row r="125" spans="2:34" ht="18.75" x14ac:dyDescent="0.3">
      <c r="B125" s="17" t="str">
        <f>"Ændringen i OT for "&amp;AB118</f>
        <v>Ændringen i OT for S</v>
      </c>
      <c r="C125" s="32"/>
      <c r="D125" s="265" t="str">
        <f>IF(C125=AA125,"Rigtig",IF(C125="","","Forkert"))</f>
        <v/>
      </c>
      <c r="E125" s="12"/>
      <c r="F125" s="264">
        <f>E125*C125</f>
        <v>0</v>
      </c>
      <c r="G125" s="517"/>
      <c r="H125" s="518"/>
      <c r="I125" s="519"/>
      <c r="K125" s="18"/>
      <c r="AA125" s="437">
        <v>2</v>
      </c>
      <c r="AB125" s="437"/>
      <c r="AC125" s="437"/>
      <c r="AD125" s="437"/>
      <c r="AE125" s="437"/>
      <c r="AF125" s="437"/>
      <c r="AG125" s="437"/>
      <c r="AH125" s="437"/>
    </row>
    <row r="126" spans="2:34" x14ac:dyDescent="0.25">
      <c r="B126" s="17"/>
      <c r="K126" s="18"/>
      <c r="AA126" s="437"/>
      <c r="AB126" s="437"/>
      <c r="AC126" s="437"/>
      <c r="AD126" s="437"/>
      <c r="AE126" s="437"/>
      <c r="AF126" s="437"/>
      <c r="AG126" s="437"/>
      <c r="AH126" s="437"/>
    </row>
    <row r="127" spans="2:34" ht="18.75" x14ac:dyDescent="0.3">
      <c r="B127" s="33" t="s">
        <v>557</v>
      </c>
      <c r="C127" s="362" t="s">
        <v>568</v>
      </c>
      <c r="D127" s="362" t="s">
        <v>123</v>
      </c>
      <c r="F127" s="363" t="str">
        <f>"Tilføjelse af "&amp;AC121&amp;" i "&amp;B121</f>
        <v>Tilføjelse af OH⁻ i basisk miljø</v>
      </c>
      <c r="G127" s="364"/>
      <c r="H127" s="264" t="s">
        <v>561</v>
      </c>
      <c r="I127" s="264" t="s">
        <v>562</v>
      </c>
      <c r="J127" s="264" t="s">
        <v>123</v>
      </c>
      <c r="K127" s="18"/>
      <c r="AA127" s="437"/>
      <c r="AB127" s="437"/>
      <c r="AC127" s="437"/>
      <c r="AD127" s="437"/>
      <c r="AE127" s="437"/>
      <c r="AF127" s="437"/>
      <c r="AG127" s="437"/>
      <c r="AH127" s="437"/>
    </row>
    <row r="128" spans="2:34" ht="18.75" x14ac:dyDescent="0.3">
      <c r="B128" s="17" t="s">
        <v>565</v>
      </c>
      <c r="C128" s="38"/>
      <c r="D128" s="265" t="str">
        <f>IF(C128="","",IF(C128=AA128,"Rigtig","Forkert"))</f>
        <v/>
      </c>
      <c r="F128" s="512" t="str">
        <f>"Hvor mange "&amp;AC121&amp;" skal tilføjes?"</f>
        <v>Hvor mange OH⁻ skal tilføjes?</v>
      </c>
      <c r="G128" s="513"/>
      <c r="H128" s="12"/>
      <c r="I128" s="12"/>
      <c r="J128" s="265" t="str">
        <f>IF(AND(H128="",I128=""),"",IF(AND(H128=AD128,I128=AE128),"Rigtig",IF(AND(OR(H128="",H128=AD128),OR(I128="",I128=AE128)),"","Forkert")))</f>
        <v/>
      </c>
      <c r="K128" s="18"/>
      <c r="AA128" s="437">
        <v>-8</v>
      </c>
      <c r="AB128" s="437"/>
      <c r="AC128" s="437"/>
      <c r="AD128" s="437"/>
      <c r="AE128" s="437">
        <v>2</v>
      </c>
      <c r="AF128" s="437"/>
      <c r="AG128" s="437"/>
      <c r="AH128" s="437"/>
    </row>
    <row r="129" spans="2:34" ht="18.75" x14ac:dyDescent="0.3">
      <c r="B129" s="17" t="s">
        <v>564</v>
      </c>
      <c r="C129" s="38"/>
      <c r="D129" s="265" t="str">
        <f>IF(C129="","",IF(C129=AA129,"Rigtig","Forkert"))</f>
        <v/>
      </c>
      <c r="K129" s="18"/>
      <c r="AA129" s="437">
        <v>-6</v>
      </c>
      <c r="AB129" s="437"/>
      <c r="AC129" s="437"/>
      <c r="AD129" s="437"/>
      <c r="AE129" s="437"/>
      <c r="AF129" s="437"/>
      <c r="AG129" s="437"/>
      <c r="AH129" s="437"/>
    </row>
    <row r="130" spans="2:34" x14ac:dyDescent="0.25">
      <c r="B130" s="17"/>
      <c r="K130" s="18"/>
      <c r="AA130" s="437"/>
      <c r="AB130" s="437"/>
      <c r="AC130" s="437"/>
      <c r="AD130" s="437"/>
      <c r="AE130" s="437"/>
      <c r="AF130" s="437"/>
      <c r="AG130" s="437"/>
      <c r="AH130" s="437"/>
    </row>
    <row r="131" spans="2:34" ht="18.75" x14ac:dyDescent="0.3">
      <c r="B131" s="33" t="s">
        <v>566</v>
      </c>
      <c r="C131" s="362" t="s">
        <v>571</v>
      </c>
      <c r="D131" s="362" t="s">
        <v>123</v>
      </c>
      <c r="F131" s="503" t="s">
        <v>573</v>
      </c>
      <c r="G131" s="505"/>
      <c r="H131" s="264" t="s">
        <v>561</v>
      </c>
      <c r="I131" s="264" t="s">
        <v>562</v>
      </c>
      <c r="J131" s="264" t="s">
        <v>123</v>
      </c>
      <c r="K131" s="18"/>
      <c r="AA131" s="437"/>
      <c r="AB131" s="437"/>
      <c r="AC131" s="437"/>
      <c r="AD131" s="437"/>
      <c r="AE131" s="437"/>
      <c r="AF131" s="437"/>
      <c r="AG131" s="437"/>
      <c r="AH131" s="437"/>
    </row>
    <row r="132" spans="2:34" ht="18.75" x14ac:dyDescent="0.3">
      <c r="B132" s="17" t="s">
        <v>567</v>
      </c>
      <c r="C132" s="29"/>
      <c r="D132" s="265" t="str">
        <f>IF(C132=AA132,"Rigtig",IF(C132="","","Forkert"))</f>
        <v/>
      </c>
      <c r="F132" s="501" t="s">
        <v>572</v>
      </c>
      <c r="G132" s="502"/>
      <c r="H132" s="12"/>
      <c r="I132" s="12"/>
      <c r="J132" s="265" t="str">
        <f>IF(AND(H132=AE132,I132=AF132),"Rigtig",IF(AND(H132="",I132=""),"","Forkert"))</f>
        <v/>
      </c>
      <c r="K132" s="18"/>
      <c r="AA132" s="438" t="s">
        <v>530</v>
      </c>
      <c r="AB132" s="437"/>
      <c r="AC132" s="437"/>
      <c r="AD132" s="437"/>
      <c r="AE132" s="437">
        <v>1</v>
      </c>
      <c r="AF132" s="437"/>
      <c r="AG132" s="437"/>
      <c r="AH132" s="437"/>
    </row>
    <row r="133" spans="2:34" ht="18.75" x14ac:dyDescent="0.3">
      <c r="B133" s="17" t="s">
        <v>569</v>
      </c>
      <c r="C133" s="29"/>
      <c r="D133" s="265" t="str">
        <f>IF(C133=AA133,"Rigtig",IF(C133="","","Forkert"))</f>
        <v/>
      </c>
      <c r="K133" s="18"/>
      <c r="AA133" s="438" t="s">
        <v>533</v>
      </c>
      <c r="AB133" s="437"/>
      <c r="AC133" s="437"/>
      <c r="AD133" s="437"/>
      <c r="AE133" s="437"/>
      <c r="AF133" s="437"/>
      <c r="AG133" s="437"/>
      <c r="AH133" s="437"/>
    </row>
    <row r="134" spans="2:34" x14ac:dyDescent="0.25">
      <c r="B134" s="17"/>
      <c r="K134" s="18"/>
      <c r="AA134" s="437"/>
      <c r="AB134" s="437"/>
      <c r="AC134" s="437"/>
      <c r="AD134" s="437"/>
      <c r="AE134" s="437"/>
      <c r="AF134" s="437"/>
      <c r="AG134" s="437"/>
      <c r="AH134" s="437"/>
    </row>
    <row r="135" spans="2:34" ht="24" thickBot="1" x14ac:dyDescent="0.4">
      <c r="B135" s="35" t="str">
        <f>IF(AND(J132="rigtig",J128="rigtig"),"Sådan! Du fik afstemt reaktionsskemaet korrekt!","")</f>
        <v/>
      </c>
      <c r="C135" s="37"/>
      <c r="D135" s="37"/>
      <c r="E135" s="37"/>
      <c r="F135" s="37"/>
      <c r="G135" s="37"/>
      <c r="H135" s="37"/>
      <c r="I135" s="37"/>
      <c r="J135" s="37"/>
      <c r="K135" s="18"/>
      <c r="AA135" s="437"/>
      <c r="AB135" s="437"/>
      <c r="AC135" s="437"/>
      <c r="AD135" s="437"/>
      <c r="AE135" s="437"/>
      <c r="AF135" s="437"/>
      <c r="AG135" s="437"/>
      <c r="AH135" s="437"/>
    </row>
    <row r="136" spans="2:34" x14ac:dyDescent="0.25">
      <c r="B136" s="17"/>
      <c r="K136" s="18"/>
      <c r="AA136" s="437"/>
      <c r="AB136" s="437"/>
      <c r="AC136" s="437"/>
      <c r="AD136" s="437"/>
      <c r="AE136" s="437"/>
      <c r="AF136" s="437"/>
      <c r="AG136" s="437"/>
      <c r="AH136" s="437"/>
    </row>
    <row r="137" spans="2:34" ht="28.5" x14ac:dyDescent="0.45">
      <c r="B137" s="40" t="s">
        <v>586</v>
      </c>
      <c r="C137" s="41" t="str">
        <f>IF(OR(TRIM(C139)=AA139,TRIM(C139)=AA138,TRIM(C139)="+"&amp;AA139,TRIM(C139)="+"&amp;AA138),"Rigtig",IF(TRIM(C139)="","","Forkert"))</f>
        <v/>
      </c>
      <c r="D137" s="41" t="str">
        <f>IF(OR(TRIM(D139)=AB139,TRIM(D139)=AB138,TRIM(D139)="+"&amp;AB139,TRIM(D139)="+"&amp;AB138),"Rigtig",IF(TRIM(D139)="","","Forkert"))</f>
        <v/>
      </c>
      <c r="E137" s="36"/>
      <c r="F137" s="36"/>
      <c r="G137" s="41" t="str">
        <f>IF(OR(TRIM(G139)=AE139,TRIM(G139)=AE138,TRIM(G139)="+"&amp;AE139,TRIM(G139)="+"&amp;AE138),"Rigtig",IF(TRIM(G139)="","","Forkert"))</f>
        <v/>
      </c>
      <c r="H137" s="41" t="str">
        <f>IF(OR(TRIM(H139)=AF139,TRIM(H139)=AF138,TRIM(H139)="+"&amp;AF139,TRIM(H139)="+"&amp;AF138),"Rigtig",IF(TRIM(H139)="","","Forkert"))</f>
        <v/>
      </c>
      <c r="I137" s="36"/>
      <c r="J137" s="36"/>
      <c r="K137" s="18"/>
      <c r="AA137" s="437" t="s">
        <v>594</v>
      </c>
      <c r="AB137" s="437" t="s">
        <v>556</v>
      </c>
      <c r="AC137" s="437"/>
      <c r="AD137" s="437"/>
      <c r="AE137" s="437"/>
      <c r="AF137" s="437"/>
      <c r="AG137" s="437"/>
      <c r="AH137" s="437"/>
    </row>
    <row r="138" spans="2:34" ht="18.75" x14ac:dyDescent="0.3">
      <c r="B138" s="33" t="s">
        <v>553</v>
      </c>
      <c r="C138" s="270" t="str">
        <f>"OT("&amp;AA137&amp;")"</f>
        <v>OT(O)</v>
      </c>
      <c r="D138" s="270" t="str">
        <f>"OT("&amp;AB137&amp;")"</f>
        <v>OT(Mn)</v>
      </c>
      <c r="G138" s="264" t="str">
        <f>"OT("&amp;AA137&amp;")"</f>
        <v>OT(O)</v>
      </c>
      <c r="H138" s="264" t="str">
        <f>"OT("&amp;AB137&amp;")"</f>
        <v>OT(Mn)</v>
      </c>
      <c r="K138" s="18"/>
      <c r="AA138" s="458" t="s">
        <v>513</v>
      </c>
      <c r="AB138" s="438" t="s">
        <v>547</v>
      </c>
      <c r="AC138" s="438"/>
      <c r="AD138" s="438"/>
      <c r="AE138" s="438" t="s">
        <v>530</v>
      </c>
      <c r="AF138" s="438" t="s">
        <v>535</v>
      </c>
      <c r="AG138" s="437"/>
      <c r="AH138" s="437"/>
    </row>
    <row r="139" spans="2:34" x14ac:dyDescent="0.25">
      <c r="B139" s="17" t="s">
        <v>600</v>
      </c>
      <c r="C139" s="29"/>
      <c r="D139" s="42"/>
      <c r="E139" s="44"/>
      <c r="F139" s="45"/>
      <c r="G139" s="43"/>
      <c r="H139" s="42"/>
      <c r="I139" s="44"/>
      <c r="K139" s="18"/>
      <c r="AA139" s="438" t="s">
        <v>511</v>
      </c>
      <c r="AB139" s="438" t="s">
        <v>505</v>
      </c>
      <c r="AC139" s="438"/>
      <c r="AD139" s="438"/>
      <c r="AE139" s="438" t="s">
        <v>530</v>
      </c>
      <c r="AF139" s="438" t="s">
        <v>490</v>
      </c>
      <c r="AG139" s="437"/>
      <c r="AH139" s="437"/>
    </row>
    <row r="140" spans="2:34" ht="21" x14ac:dyDescent="0.35">
      <c r="B140" s="17" t="s">
        <v>587</v>
      </c>
      <c r="C140" s="408" t="str">
        <f>IF(OR(E143=1,E143="",E143/2=1),"",E143/2)&amp;AA140&amp;"    +"</f>
        <v>H₂O₂    +</v>
      </c>
      <c r="D140" s="409" t="str">
        <f>IF(OR(E144=1,E144=""),"",E144/1)&amp;AB140</f>
        <v>MnO₄⁻</v>
      </c>
      <c r="E140" s="409"/>
      <c r="F140" s="409" t="s">
        <v>48</v>
      </c>
      <c r="G140" s="409" t="str">
        <f>IF(OR(E143=1,E143="",E143/2=1),"",E143/2)&amp;AE140&amp;"    +"</f>
        <v>O₂    +</v>
      </c>
      <c r="H140" s="409" t="str">
        <f>IF(E144&lt;&gt;1,E144,"")&amp;AF140&amp;IF(J151="rigtig","    +","")</f>
        <v>MnO₂</v>
      </c>
      <c r="I140" s="409" t="str">
        <f>IF(J147="rigtig",I147&amp;AG140&amp;"    +","")</f>
        <v/>
      </c>
      <c r="J140" s="410" t="str">
        <f>IF(J151="Rigtig",IF(AF151=1,"",AF151)&amp;AH140,"")</f>
        <v/>
      </c>
      <c r="K140" s="18"/>
      <c r="AA140" s="437" t="s">
        <v>207</v>
      </c>
      <c r="AB140" s="437" t="s">
        <v>519</v>
      </c>
      <c r="AC140" s="437"/>
      <c r="AD140" s="437"/>
      <c r="AE140" s="437" t="s">
        <v>49</v>
      </c>
      <c r="AF140" s="437" t="s">
        <v>516</v>
      </c>
      <c r="AG140" s="437" t="s">
        <v>156</v>
      </c>
      <c r="AH140" s="437" t="s">
        <v>50</v>
      </c>
    </row>
    <row r="141" spans="2:34" x14ac:dyDescent="0.25">
      <c r="B141" s="17"/>
      <c r="K141" s="18"/>
      <c r="AA141" s="437"/>
      <c r="AB141" s="437"/>
      <c r="AC141" s="437"/>
      <c r="AD141" s="437"/>
      <c r="AE141" s="437"/>
      <c r="AF141" s="437"/>
      <c r="AG141" s="437"/>
      <c r="AH141" s="437"/>
    </row>
    <row r="142" spans="2:34" ht="18.75" x14ac:dyDescent="0.3">
      <c r="B142" s="33" t="s">
        <v>554</v>
      </c>
      <c r="C142" s="362" t="s">
        <v>577</v>
      </c>
      <c r="D142" s="362" t="s">
        <v>123</v>
      </c>
      <c r="E142" s="362" t="s">
        <v>558</v>
      </c>
      <c r="F142" s="362" t="s">
        <v>559</v>
      </c>
      <c r="G142" s="503" t="s">
        <v>560</v>
      </c>
      <c r="H142" s="504"/>
      <c r="I142" s="505"/>
      <c r="K142" s="18"/>
      <c r="AA142" s="437"/>
      <c r="AB142" s="437"/>
      <c r="AC142" s="437"/>
      <c r="AD142" s="437"/>
      <c r="AE142" s="437"/>
      <c r="AF142" s="437"/>
      <c r="AG142" s="437"/>
      <c r="AH142" s="437"/>
    </row>
    <row r="143" spans="2:34" ht="18.75" x14ac:dyDescent="0.3">
      <c r="B143" s="17" t="str">
        <f>"Ændringen i OT for "&amp;AA137</f>
        <v>Ændringen i OT for O</v>
      </c>
      <c r="C143" s="32"/>
      <c r="D143" s="265" t="str">
        <f>IF(C143=AA143,"Rigtig",IF(C143="","","Forkert"))</f>
        <v/>
      </c>
      <c r="E143" s="12"/>
      <c r="F143" s="264">
        <f>E143*C143</f>
        <v>0</v>
      </c>
      <c r="G143" s="514" t="str">
        <f>IF(AND(ABS(F143)=ABS(F144),F143=AB143),"Rigtig",IF(OR(E143="",E144=""),"",IF(ABS(F143)=ABS(F144),"Undgå halve tal i reaktionsskemaet","Forkert")))</f>
        <v/>
      </c>
      <c r="H143" s="515"/>
      <c r="I143" s="516"/>
      <c r="K143" s="18"/>
      <c r="AA143" s="437">
        <v>1</v>
      </c>
      <c r="AB143" s="437">
        <v>6</v>
      </c>
      <c r="AC143" s="437"/>
      <c r="AD143" s="437"/>
      <c r="AE143" s="437"/>
      <c r="AF143" s="437"/>
      <c r="AG143" s="437"/>
      <c r="AH143" s="437"/>
    </row>
    <row r="144" spans="2:34" ht="18.75" x14ac:dyDescent="0.3">
      <c r="B144" s="17" t="str">
        <f>"Ændringen i OT for "&amp;AB137</f>
        <v>Ændringen i OT for Mn</v>
      </c>
      <c r="C144" s="32"/>
      <c r="D144" s="265" t="str">
        <f>IF(C144=AA144,"Rigtig",IF(C144="","","Forkert"))</f>
        <v/>
      </c>
      <c r="E144" s="12"/>
      <c r="F144" s="264">
        <f>E144*C144</f>
        <v>0</v>
      </c>
      <c r="G144" s="517"/>
      <c r="H144" s="518"/>
      <c r="I144" s="519"/>
      <c r="K144" s="18"/>
      <c r="AA144" s="437">
        <v>-3</v>
      </c>
      <c r="AB144" s="437"/>
      <c r="AC144" s="437"/>
      <c r="AD144" s="437"/>
      <c r="AE144" s="437"/>
      <c r="AF144" s="437"/>
      <c r="AG144" s="437"/>
      <c r="AH144" s="437"/>
    </row>
    <row r="145" spans="2:34" x14ac:dyDescent="0.25">
      <c r="AA145" s="437"/>
      <c r="AB145" s="437"/>
      <c r="AC145" s="437"/>
      <c r="AD145" s="437"/>
      <c r="AE145" s="437"/>
      <c r="AF145" s="437"/>
      <c r="AG145" s="437"/>
      <c r="AH145" s="437"/>
    </row>
    <row r="146" spans="2:34" ht="18.75" x14ac:dyDescent="0.3">
      <c r="B146" s="33" t="s">
        <v>557</v>
      </c>
      <c r="C146" s="362" t="s">
        <v>568</v>
      </c>
      <c r="D146" s="362" t="s">
        <v>123</v>
      </c>
      <c r="F146" s="363" t="str">
        <f>"Tilføjelse af "&amp;AG140&amp;" i "&amp;B140</f>
        <v>Tilføjelse af OH⁻ i basisk miljø</v>
      </c>
      <c r="G146" s="364"/>
      <c r="H146" s="264" t="s">
        <v>561</v>
      </c>
      <c r="I146" s="264" t="s">
        <v>562</v>
      </c>
      <c r="J146" s="264" t="s">
        <v>123</v>
      </c>
      <c r="K146" s="18"/>
      <c r="AA146" s="437"/>
      <c r="AB146" s="437"/>
      <c r="AC146" s="437"/>
      <c r="AD146" s="437"/>
      <c r="AE146" s="437"/>
      <c r="AF146" s="437"/>
      <c r="AG146" s="437"/>
      <c r="AH146" s="437"/>
    </row>
    <row r="147" spans="2:34" ht="18.75" x14ac:dyDescent="0.3">
      <c r="B147" s="17" t="s">
        <v>565</v>
      </c>
      <c r="C147" s="38"/>
      <c r="D147" s="265" t="str">
        <f>IF(C147="","",IF(C147=AA147,"Rigtig","Forkert"))</f>
        <v/>
      </c>
      <c r="F147" s="512" t="str">
        <f>"Hvor mange "&amp;AG140&amp;" skal tilføjes?"</f>
        <v>Hvor mange OH⁻ skal tilføjes?</v>
      </c>
      <c r="G147" s="513"/>
      <c r="H147" s="12"/>
      <c r="I147" s="12"/>
      <c r="J147" s="265" t="str">
        <f>IF(AND(H147="",I147=""),"",IF(AND(H147=AD147,I147=AE147),"Rigtig",IF(AND(OR(H147="",H147=AD147),OR(I147="",I147=AE147)),"","Forkert")))</f>
        <v/>
      </c>
      <c r="K147" s="18"/>
      <c r="AA147" s="437">
        <v>-2</v>
      </c>
      <c r="AB147" s="437"/>
      <c r="AC147" s="437"/>
      <c r="AD147" s="437"/>
      <c r="AE147" s="437">
        <v>2</v>
      </c>
      <c r="AF147" s="437">
        <v>2</v>
      </c>
      <c r="AG147" s="437"/>
      <c r="AH147" s="437"/>
    </row>
    <row r="148" spans="2:34" ht="18.75" x14ac:dyDescent="0.3">
      <c r="B148" s="17" t="s">
        <v>564</v>
      </c>
      <c r="C148" s="38"/>
      <c r="D148" s="265" t="str">
        <f>IF(C148="","",IF(C148=AA148,"Rigtig","Forkert"))</f>
        <v/>
      </c>
      <c r="K148" s="18"/>
      <c r="AA148" s="437">
        <v>0</v>
      </c>
      <c r="AB148" s="437"/>
      <c r="AC148" s="437"/>
      <c r="AD148" s="437"/>
      <c r="AE148" s="437"/>
      <c r="AF148" s="437"/>
      <c r="AG148" s="437"/>
      <c r="AH148" s="437"/>
    </row>
    <row r="149" spans="2:34" x14ac:dyDescent="0.25">
      <c r="B149" s="17"/>
      <c r="K149" s="18"/>
      <c r="AA149" s="437"/>
      <c r="AB149" s="437"/>
      <c r="AC149" s="437"/>
      <c r="AD149" s="437"/>
      <c r="AE149" s="437"/>
      <c r="AF149" s="437"/>
      <c r="AG149" s="437"/>
      <c r="AH149" s="437"/>
    </row>
    <row r="150" spans="2:34" ht="18.75" x14ac:dyDescent="0.3">
      <c r="B150" s="33" t="s">
        <v>566</v>
      </c>
      <c r="C150" s="362" t="s">
        <v>571</v>
      </c>
      <c r="D150" s="362" t="s">
        <v>123</v>
      </c>
      <c r="F150" s="503" t="s">
        <v>573</v>
      </c>
      <c r="G150" s="505"/>
      <c r="H150" s="264" t="s">
        <v>561</v>
      </c>
      <c r="I150" s="264" t="s">
        <v>562</v>
      </c>
      <c r="J150" s="264" t="s">
        <v>123</v>
      </c>
      <c r="K150" s="18"/>
      <c r="AA150" s="437"/>
      <c r="AB150" s="437"/>
      <c r="AC150" s="437"/>
      <c r="AD150" s="437"/>
      <c r="AE150" s="437"/>
      <c r="AF150" s="437"/>
      <c r="AG150" s="437"/>
      <c r="AH150" s="437"/>
    </row>
    <row r="151" spans="2:34" ht="18.75" x14ac:dyDescent="0.3">
      <c r="B151" s="17" t="s">
        <v>567</v>
      </c>
      <c r="C151" s="29"/>
      <c r="D151" s="265" t="str">
        <f>IF(C151=AA151,"Rigtig",IF(C151="","","Forkert"))</f>
        <v/>
      </c>
      <c r="F151" s="501" t="s">
        <v>572</v>
      </c>
      <c r="G151" s="502"/>
      <c r="H151" s="12"/>
      <c r="I151" s="12"/>
      <c r="J151" s="265" t="str">
        <f>IF(AND(H151=AE151,I151=AF151),"Rigtig",IF(AND(H151="",I151=""),"","Forkert"))</f>
        <v/>
      </c>
      <c r="K151" s="18"/>
      <c r="AA151" s="438" t="s">
        <v>540</v>
      </c>
      <c r="AB151" s="437"/>
      <c r="AC151" s="437"/>
      <c r="AD151" s="437"/>
      <c r="AE151" s="437"/>
      <c r="AF151" s="437">
        <v>2</v>
      </c>
      <c r="AG151" s="437"/>
      <c r="AH151" s="437"/>
    </row>
    <row r="152" spans="2:34" ht="18.75" x14ac:dyDescent="0.3">
      <c r="B152" s="17" t="s">
        <v>569</v>
      </c>
      <c r="C152" s="29"/>
      <c r="D152" s="265" t="str">
        <f>IF(C152=AA152,"Rigtig",IF(C152="","","Forkert"))</f>
        <v/>
      </c>
      <c r="K152" s="18"/>
      <c r="AA152" s="438" t="s">
        <v>533</v>
      </c>
      <c r="AB152" s="437"/>
      <c r="AC152" s="437"/>
      <c r="AD152" s="437"/>
      <c r="AE152" s="437"/>
      <c r="AF152" s="437"/>
      <c r="AG152" s="437"/>
      <c r="AH152" s="437"/>
    </row>
    <row r="153" spans="2:34" x14ac:dyDescent="0.25">
      <c r="B153" s="17"/>
      <c r="K153" s="46"/>
      <c r="AA153" s="437"/>
      <c r="AB153" s="437"/>
      <c r="AC153" s="437"/>
      <c r="AD153" s="437"/>
      <c r="AE153" s="437"/>
      <c r="AF153" s="437"/>
      <c r="AG153" s="437"/>
      <c r="AH153" s="437"/>
    </row>
    <row r="154" spans="2:34" ht="24" thickBot="1" x14ac:dyDescent="0.4">
      <c r="B154" s="35" t="str">
        <f>IF(AND(J151="rigtig",J147="rigtig"),"Sådan! Du fik afstemt reaktionsskemaet korrekt!","")</f>
        <v/>
      </c>
      <c r="C154" s="37"/>
      <c r="D154" s="37"/>
      <c r="E154" s="37"/>
      <c r="F154" s="37"/>
      <c r="G154" s="37"/>
      <c r="H154" s="37"/>
      <c r="I154" s="37"/>
      <c r="J154" s="37"/>
      <c r="K154" s="47"/>
      <c r="AA154" s="437"/>
      <c r="AB154" s="437"/>
      <c r="AC154" s="437"/>
      <c r="AD154" s="437"/>
      <c r="AE154" s="437"/>
      <c r="AF154" s="437"/>
      <c r="AG154" s="437"/>
      <c r="AH154" s="437"/>
    </row>
  </sheetData>
  <sheetProtection algorithmName="SHA-512" hashValue="8xJ5da4wJaVB1fcuHqDj2b+Jwt16aaYBaarfgBWQB4cOWVP5UB+AZ/ZAl0pDpunxEqk2wbYWstnjg7wsvhXoHQ==" saltValue="t3Dqzldpp8YlsoABA8TB0g==" spinCount="100000" sheet="1" objects="1" scenarios="1" formatColumns="0" formatRows="0"/>
  <mergeCells count="40">
    <mergeCell ref="G143:I144"/>
    <mergeCell ref="F147:G147"/>
    <mergeCell ref="F150:G150"/>
    <mergeCell ref="F151:G151"/>
    <mergeCell ref="G123:I123"/>
    <mergeCell ref="G124:I125"/>
    <mergeCell ref="F128:G128"/>
    <mergeCell ref="F131:G131"/>
    <mergeCell ref="F132:G132"/>
    <mergeCell ref="G142:I142"/>
    <mergeCell ref="F113:G113"/>
    <mergeCell ref="G105:I106"/>
    <mergeCell ref="F109:G109"/>
    <mergeCell ref="F112:G112"/>
    <mergeCell ref="F90:G90"/>
    <mergeCell ref="F93:G93"/>
    <mergeCell ref="F94:G94"/>
    <mergeCell ref="G104:I104"/>
    <mergeCell ref="G86:I87"/>
    <mergeCell ref="G46:I46"/>
    <mergeCell ref="G47:I48"/>
    <mergeCell ref="F51:G51"/>
    <mergeCell ref="F54:G54"/>
    <mergeCell ref="F55:G55"/>
    <mergeCell ref="G65:I65"/>
    <mergeCell ref="G66:I67"/>
    <mergeCell ref="F70:G70"/>
    <mergeCell ref="F73:G73"/>
    <mergeCell ref="F74:G74"/>
    <mergeCell ref="G85:I85"/>
    <mergeCell ref="G27:I27"/>
    <mergeCell ref="G28:I29"/>
    <mergeCell ref="F32:G32"/>
    <mergeCell ref="F35:G35"/>
    <mergeCell ref="F36:G36"/>
    <mergeCell ref="F18:G18"/>
    <mergeCell ref="G9:I9"/>
    <mergeCell ref="G10:I11"/>
    <mergeCell ref="F17:G17"/>
    <mergeCell ref="F14:G14"/>
  </mergeCells>
  <conditionalFormatting sqref="B9:J12">
    <cfRule type="expression" dxfId="167" priority="317">
      <formula>OR($C$4&lt;&gt;"rigtig",$D$4&lt;&gt;"rigtig",$G$4&lt;&gt;"rigtig",$H$4&lt;&gt;"rigtig")</formula>
    </cfRule>
  </conditionalFormatting>
  <conditionalFormatting sqref="B13:J16">
    <cfRule type="expression" dxfId="166" priority="46">
      <formula>$G$10&lt;&gt;"rigtig"</formula>
    </cfRule>
  </conditionalFormatting>
  <conditionalFormatting sqref="B17:J20">
    <cfRule type="expression" dxfId="165" priority="292">
      <formula>$J$14&lt;&gt;"Rigtig"</formula>
    </cfRule>
  </conditionalFormatting>
  <conditionalFormatting sqref="B20:J21">
    <cfRule type="expression" dxfId="164" priority="231">
      <formula>$B$21&lt;&gt;""</formula>
    </cfRule>
  </conditionalFormatting>
  <conditionalFormatting sqref="B27:J30">
    <cfRule type="expression" dxfId="163" priority="275">
      <formula>OR($C$22&lt;&gt;"rigtig",$D$22&lt;&gt;"rigtig",$G$22&lt;&gt;"rigtig",$H$22&lt;&gt;"rigtig")</formula>
    </cfRule>
  </conditionalFormatting>
  <conditionalFormatting sqref="B31:J34">
    <cfRule type="expression" dxfId="162" priority="28">
      <formula>$G$28&lt;&gt;"rigtig"</formula>
    </cfRule>
  </conditionalFormatting>
  <conditionalFormatting sqref="B35:J37">
    <cfRule type="expression" dxfId="161" priority="273">
      <formula>$J$32&lt;&gt;"Rigtig"</formula>
    </cfRule>
  </conditionalFormatting>
  <conditionalFormatting sqref="B38:J39">
    <cfRule type="expression" dxfId="160" priority="229">
      <formula>$B$39&lt;&gt;""</formula>
    </cfRule>
  </conditionalFormatting>
  <conditionalFormatting sqref="B46:J49">
    <cfRule type="expression" dxfId="159" priority="256">
      <formula>OR($C$41&lt;&gt;"rigtig",$D$41&lt;&gt;"rigtig",$G$41&lt;&gt;"rigtig",$H$41&lt;&gt;"rigtig")</formula>
    </cfRule>
  </conditionalFormatting>
  <conditionalFormatting sqref="B50:J53">
    <cfRule type="expression" dxfId="158" priority="255">
      <formula>$G$47&lt;&gt;"rigtig"</formula>
    </cfRule>
  </conditionalFormatting>
  <conditionalFormatting sqref="B54:J56">
    <cfRule type="expression" dxfId="157" priority="254">
      <formula>$J$51&lt;&gt;"Rigtig"</formula>
    </cfRule>
  </conditionalFormatting>
  <conditionalFormatting sqref="B57:J57">
    <cfRule type="expression" dxfId="156" priority="228">
      <formula>$J$14&lt;&gt;"Rigtig"</formula>
    </cfRule>
  </conditionalFormatting>
  <conditionalFormatting sqref="B57:J58">
    <cfRule type="expression" dxfId="155" priority="227">
      <formula>$B$58&lt;&gt;""</formula>
    </cfRule>
  </conditionalFormatting>
  <conditionalFormatting sqref="B65:J68">
    <cfRule type="expression" dxfId="154" priority="237">
      <formula>OR($C$60&lt;&gt;"rigtig",$D$60&lt;&gt;"rigtig",$G$60&lt;&gt;"rigtig",$H$60&lt;&gt;"rigtig")</formula>
    </cfRule>
  </conditionalFormatting>
  <conditionalFormatting sqref="B69:J72">
    <cfRule type="expression" dxfId="153" priority="5">
      <formula>$G$66&lt;&gt;"rigtig"</formula>
    </cfRule>
  </conditionalFormatting>
  <conditionalFormatting sqref="B73:J75">
    <cfRule type="expression" dxfId="152" priority="235">
      <formula>$J$70&lt;&gt;"Rigtig"</formula>
    </cfRule>
  </conditionalFormatting>
  <conditionalFormatting sqref="B76:J76">
    <cfRule type="expression" dxfId="151" priority="226">
      <formula>$J$14&lt;&gt;"Rigtig"</formula>
    </cfRule>
  </conditionalFormatting>
  <conditionalFormatting sqref="B76:J77">
    <cfRule type="expression" dxfId="150" priority="225">
      <formula>$B$77&lt;&gt;""</formula>
    </cfRule>
  </conditionalFormatting>
  <conditionalFormatting sqref="B96:J97">
    <cfRule type="expression" dxfId="149" priority="202">
      <formula>$B$97&lt;&gt;""</formula>
    </cfRule>
  </conditionalFormatting>
  <conditionalFormatting sqref="B115:J116">
    <cfRule type="expression" dxfId="148" priority="179">
      <formula>$B$116&lt;&gt;""</formula>
    </cfRule>
  </conditionalFormatting>
  <conditionalFormatting sqref="B134:J135">
    <cfRule type="expression" dxfId="147" priority="156">
      <formula>$B$135&lt;&gt;""</formula>
    </cfRule>
  </conditionalFormatting>
  <conditionalFormatting sqref="B153:K154">
    <cfRule type="expression" dxfId="146" priority="1">
      <formula>$B$154&lt;&gt;""</formula>
    </cfRule>
  </conditionalFormatting>
  <conditionalFormatting sqref="C4:D4">
    <cfRule type="containsText" dxfId="145" priority="313" operator="containsText" text="Rigtig">
      <formula>NOT(ISERROR(SEARCH("Rigtig",C4)))</formula>
    </cfRule>
    <cfRule type="containsText" dxfId="144" priority="314" operator="containsText" text="Forkert">
      <formula>NOT(ISERROR(SEARCH("Forkert",C4)))</formula>
    </cfRule>
  </conditionalFormatting>
  <conditionalFormatting sqref="C22:D22">
    <cfRule type="containsText" dxfId="143" priority="78" operator="containsText" text="Rigtig">
      <formula>NOT(ISERROR(SEARCH("Rigtig",C22)))</formula>
    </cfRule>
    <cfRule type="containsText" dxfId="142" priority="79" operator="containsText" text="Forkert">
      <formula>NOT(ISERROR(SEARCH("Forkert",C22)))</formula>
    </cfRule>
  </conditionalFormatting>
  <conditionalFormatting sqref="C41:D41">
    <cfRule type="containsText" dxfId="141" priority="74" operator="containsText" text="Rigtig">
      <formula>NOT(ISERROR(SEARCH("Rigtig",C41)))</formula>
    </cfRule>
    <cfRule type="containsText" dxfId="140" priority="75" operator="containsText" text="Forkert">
      <formula>NOT(ISERROR(SEARCH("Forkert",C41)))</formula>
    </cfRule>
  </conditionalFormatting>
  <conditionalFormatting sqref="C60:D60">
    <cfRule type="containsText" dxfId="139" priority="70" operator="containsText" text="Rigtig">
      <formula>NOT(ISERROR(SEARCH("Rigtig",C60)))</formula>
    </cfRule>
    <cfRule type="containsText" dxfId="138" priority="71" operator="containsText" text="Forkert">
      <formula>NOT(ISERROR(SEARCH("Forkert",C60)))</formula>
    </cfRule>
  </conditionalFormatting>
  <conditionalFormatting sqref="C80:D80">
    <cfRule type="containsText" dxfId="137" priority="66" operator="containsText" text="Rigtig">
      <formula>NOT(ISERROR(SEARCH("Rigtig",C80)))</formula>
    </cfRule>
    <cfRule type="containsText" dxfId="136" priority="67" operator="containsText" text="Forkert">
      <formula>NOT(ISERROR(SEARCH("Forkert",C80)))</formula>
    </cfRule>
  </conditionalFormatting>
  <conditionalFormatting sqref="C99:D99">
    <cfRule type="containsText" dxfId="135" priority="62" operator="containsText" text="Rigtig">
      <formula>NOT(ISERROR(SEARCH("Rigtig",C99)))</formula>
    </cfRule>
    <cfRule type="containsText" dxfId="134" priority="63" operator="containsText" text="Forkert">
      <formula>NOT(ISERROR(SEARCH("Forkert",C99)))</formula>
    </cfRule>
  </conditionalFormatting>
  <conditionalFormatting sqref="C118:D118">
    <cfRule type="containsText" dxfId="133" priority="58" operator="containsText" text="Rigtig">
      <formula>NOT(ISERROR(SEARCH("Rigtig",C118)))</formula>
    </cfRule>
    <cfRule type="containsText" dxfId="132" priority="59" operator="containsText" text="Forkert">
      <formula>NOT(ISERROR(SEARCH("Forkert",C118)))</formula>
    </cfRule>
  </conditionalFormatting>
  <conditionalFormatting sqref="C137:D137">
    <cfRule type="containsText" dxfId="131" priority="54" operator="containsText" text="Rigtig">
      <formula>NOT(ISERROR(SEARCH("Rigtig",C137)))</formula>
    </cfRule>
    <cfRule type="containsText" dxfId="130" priority="55" operator="containsText" text="Forkert">
      <formula>NOT(ISERROR(SEARCH("Forkert",C137)))</formula>
    </cfRule>
  </conditionalFormatting>
  <conditionalFormatting sqref="D10:D11">
    <cfRule type="containsText" dxfId="129" priority="315" operator="containsText" text="Rigtig">
      <formula>NOT(ISERROR(SEARCH("Rigtig",D10)))</formula>
    </cfRule>
    <cfRule type="containsText" dxfId="128" priority="316" operator="containsText" text="Forkert">
      <formula>NOT(ISERROR(SEARCH("Forkert",D10)))</formula>
    </cfRule>
  </conditionalFormatting>
  <conditionalFormatting sqref="D14:D15">
    <cfRule type="containsText" dxfId="127" priority="47" operator="containsText" text="Rigtig">
      <formula>NOT(ISERROR(SEARCH("Rigtig",D14)))</formula>
    </cfRule>
    <cfRule type="containsText" dxfId="126" priority="48" operator="containsText" text="Forkert">
      <formula>NOT(ISERROR(SEARCH("Forkert",D14)))</formula>
    </cfRule>
  </conditionalFormatting>
  <conditionalFormatting sqref="D18:D19">
    <cfRule type="containsText" dxfId="125" priority="301" operator="containsText" text="Rigtig">
      <formula>NOT(ISERROR(SEARCH("Rigtig",D18)))</formula>
    </cfRule>
    <cfRule type="containsText" dxfId="124" priority="302" operator="containsText" text="Forkert">
      <formula>NOT(ISERROR(SEARCH("Forkert",D18)))</formula>
    </cfRule>
  </conditionalFormatting>
  <conditionalFormatting sqref="D28:D29">
    <cfRule type="containsText" dxfId="123" priority="290" operator="containsText" text="Rigtig">
      <formula>NOT(ISERROR(SEARCH("Rigtig",D28)))</formula>
    </cfRule>
    <cfRule type="containsText" dxfId="122" priority="291" operator="containsText" text="Forkert">
      <formula>NOT(ISERROR(SEARCH("Forkert",D28)))</formula>
    </cfRule>
  </conditionalFormatting>
  <conditionalFormatting sqref="D32:D33">
    <cfRule type="containsText" dxfId="121" priority="50" operator="containsText" text="Rigtig">
      <formula>NOT(ISERROR(SEARCH("Rigtig",D32)))</formula>
    </cfRule>
    <cfRule type="containsText" dxfId="120" priority="51" operator="containsText" text="Forkert">
      <formula>NOT(ISERROR(SEARCH("Forkert",D32)))</formula>
    </cfRule>
  </conditionalFormatting>
  <conditionalFormatting sqref="D36:D37">
    <cfRule type="containsText" dxfId="119" priority="278" operator="containsText" text="Rigtig">
      <formula>NOT(ISERROR(SEARCH("Rigtig",D36)))</formula>
    </cfRule>
    <cfRule type="containsText" dxfId="118" priority="279" operator="containsText" text="Forkert">
      <formula>NOT(ISERROR(SEARCH("Forkert",D36)))</formula>
    </cfRule>
  </conditionalFormatting>
  <conditionalFormatting sqref="D47:D48">
    <cfRule type="containsText" dxfId="117" priority="271" operator="containsText" text="Rigtig">
      <formula>NOT(ISERROR(SEARCH("Rigtig",D47)))</formula>
    </cfRule>
    <cfRule type="containsText" dxfId="116" priority="272" operator="containsText" text="Forkert">
      <formula>NOT(ISERROR(SEARCH("Forkert",D47)))</formula>
    </cfRule>
  </conditionalFormatting>
  <conditionalFormatting sqref="D51:D52">
    <cfRule type="containsText" dxfId="115" priority="263" operator="containsText" text="Rigtig">
      <formula>NOT(ISERROR(SEARCH("Rigtig",D51)))</formula>
    </cfRule>
    <cfRule type="containsText" dxfId="114" priority="264" operator="containsText" text="Forkert">
      <formula>NOT(ISERROR(SEARCH("Forkert",D51)))</formula>
    </cfRule>
  </conditionalFormatting>
  <conditionalFormatting sqref="D55:D56">
    <cfRule type="containsText" dxfId="113" priority="259" operator="containsText" text="Rigtig">
      <formula>NOT(ISERROR(SEARCH("Rigtig",D55)))</formula>
    </cfRule>
    <cfRule type="containsText" dxfId="112" priority="260" operator="containsText" text="Forkert">
      <formula>NOT(ISERROR(SEARCH("Forkert",D55)))</formula>
    </cfRule>
  </conditionalFormatting>
  <conditionalFormatting sqref="D66:D67">
    <cfRule type="containsText" dxfId="111" priority="252" operator="containsText" text="Rigtig">
      <formula>NOT(ISERROR(SEARCH("Rigtig",D66)))</formula>
    </cfRule>
    <cfRule type="containsText" dxfId="110" priority="253" operator="containsText" text="Forkert">
      <formula>NOT(ISERROR(SEARCH("Forkert",D66)))</formula>
    </cfRule>
  </conditionalFormatting>
  <conditionalFormatting sqref="D70:D71">
    <cfRule type="containsText" dxfId="109" priority="44" operator="containsText" text="Rigtig">
      <formula>NOT(ISERROR(SEARCH("Rigtig",D70)))</formula>
    </cfRule>
    <cfRule type="containsText" dxfId="108" priority="45" operator="containsText" text="Forkert">
      <formula>NOT(ISERROR(SEARCH("Forkert",D70)))</formula>
    </cfRule>
  </conditionalFormatting>
  <conditionalFormatting sqref="D74:D75">
    <cfRule type="containsText" dxfId="107" priority="240" operator="containsText" text="Rigtig">
      <formula>NOT(ISERROR(SEARCH("Rigtig",D74)))</formula>
    </cfRule>
    <cfRule type="containsText" dxfId="106" priority="241" operator="containsText" text="Forkert">
      <formula>NOT(ISERROR(SEARCH("Forkert",D74)))</formula>
    </cfRule>
  </conditionalFormatting>
  <conditionalFormatting sqref="D86:D87">
    <cfRule type="containsText" dxfId="105" priority="220" operator="containsText" text="Rigtig">
      <formula>NOT(ISERROR(SEARCH("Rigtig",D86)))</formula>
    </cfRule>
    <cfRule type="containsText" dxfId="104" priority="221" operator="containsText" text="Forkert">
      <formula>NOT(ISERROR(SEARCH("Forkert",D86)))</formula>
    </cfRule>
  </conditionalFormatting>
  <conditionalFormatting sqref="D90:D91">
    <cfRule type="expression" dxfId="103" priority="40">
      <formula>$G$47&lt;&gt;"rigtig"</formula>
    </cfRule>
    <cfRule type="containsText" dxfId="102" priority="41" operator="containsText" text="Rigtig">
      <formula>NOT(ISERROR(SEARCH("Rigtig",D90)))</formula>
    </cfRule>
    <cfRule type="containsText" dxfId="101" priority="42" operator="containsText" text="Forkert">
      <formula>NOT(ISERROR(SEARCH("Forkert",D90)))</formula>
    </cfRule>
  </conditionalFormatting>
  <conditionalFormatting sqref="D94:D95">
    <cfRule type="containsText" dxfId="100" priority="210" operator="containsText" text="Rigtig">
      <formula>NOT(ISERROR(SEARCH("Rigtig",D94)))</formula>
    </cfRule>
    <cfRule type="containsText" dxfId="99" priority="211" operator="containsText" text="Forkert">
      <formula>NOT(ISERROR(SEARCH("Forkert",D94)))</formula>
    </cfRule>
  </conditionalFormatting>
  <conditionalFormatting sqref="D105:D106">
    <cfRule type="containsText" dxfId="98" priority="197" operator="containsText" text="Rigtig">
      <formula>NOT(ISERROR(SEARCH("Rigtig",D105)))</formula>
    </cfRule>
    <cfRule type="containsText" dxfId="97" priority="198" operator="containsText" text="Forkert">
      <formula>NOT(ISERROR(SEARCH("Forkert",D105)))</formula>
    </cfRule>
  </conditionalFormatting>
  <conditionalFormatting sqref="D109:D110">
    <cfRule type="expression" dxfId="96" priority="37">
      <formula>$G$47&lt;&gt;"rigtig"</formula>
    </cfRule>
    <cfRule type="containsText" dxfId="95" priority="38" operator="containsText" text="Rigtig">
      <formula>NOT(ISERROR(SEARCH("Rigtig",D109)))</formula>
    </cfRule>
    <cfRule type="containsText" dxfId="94" priority="39" operator="containsText" text="Forkert">
      <formula>NOT(ISERROR(SEARCH("Forkert",D109)))</formula>
    </cfRule>
  </conditionalFormatting>
  <conditionalFormatting sqref="D113:D114">
    <cfRule type="containsText" dxfId="93" priority="187" operator="containsText" text="Rigtig">
      <formula>NOT(ISERROR(SEARCH("Rigtig",D113)))</formula>
    </cfRule>
    <cfRule type="containsText" dxfId="92" priority="188" operator="containsText" text="Forkert">
      <formula>NOT(ISERROR(SEARCH("Forkert",D113)))</formula>
    </cfRule>
  </conditionalFormatting>
  <conditionalFormatting sqref="D124:D125">
    <cfRule type="containsText" dxfId="91" priority="174" operator="containsText" text="Rigtig">
      <formula>NOT(ISERROR(SEARCH("Rigtig",D124)))</formula>
    </cfRule>
    <cfRule type="containsText" dxfId="90" priority="175" operator="containsText" text="Forkert">
      <formula>NOT(ISERROR(SEARCH("Forkert",D124)))</formula>
    </cfRule>
  </conditionalFormatting>
  <conditionalFormatting sqref="D128:D129">
    <cfRule type="expression" dxfId="89" priority="34">
      <formula>$G$47&lt;&gt;"rigtig"</formula>
    </cfRule>
    <cfRule type="containsText" dxfId="88" priority="35" operator="containsText" text="Rigtig">
      <formula>NOT(ISERROR(SEARCH("Rigtig",D128)))</formula>
    </cfRule>
    <cfRule type="containsText" dxfId="87" priority="36" operator="containsText" text="Forkert">
      <formula>NOT(ISERROR(SEARCH("Forkert",D128)))</formula>
    </cfRule>
  </conditionalFormatting>
  <conditionalFormatting sqref="D132:D133">
    <cfRule type="containsText" dxfId="86" priority="164" operator="containsText" text="Rigtig">
      <formula>NOT(ISERROR(SEARCH("Rigtig",D132)))</formula>
    </cfRule>
    <cfRule type="containsText" dxfId="85" priority="165" operator="containsText" text="Forkert">
      <formula>NOT(ISERROR(SEARCH("Forkert",D132)))</formula>
    </cfRule>
  </conditionalFormatting>
  <conditionalFormatting sqref="D143:D144">
    <cfRule type="containsText" dxfId="84" priority="151" operator="containsText" text="Rigtig">
      <formula>NOT(ISERROR(SEARCH("Rigtig",D143)))</formula>
    </cfRule>
    <cfRule type="containsText" dxfId="83" priority="152" operator="containsText" text="Forkert">
      <formula>NOT(ISERROR(SEARCH("Forkert",D143)))</formula>
    </cfRule>
  </conditionalFormatting>
  <conditionalFormatting sqref="D147:D148">
    <cfRule type="expression" dxfId="82" priority="31">
      <formula>$G$47&lt;&gt;"rigtig"</formula>
    </cfRule>
    <cfRule type="containsText" dxfId="81" priority="32" operator="containsText" text="Rigtig">
      <formula>NOT(ISERROR(SEARCH("Rigtig",D147)))</formula>
    </cfRule>
    <cfRule type="containsText" dxfId="80" priority="33" operator="containsText" text="Forkert">
      <formula>NOT(ISERROR(SEARCH("Forkert",D147)))</formula>
    </cfRule>
  </conditionalFormatting>
  <conditionalFormatting sqref="D151:D152">
    <cfRule type="containsText" dxfId="79" priority="141" operator="containsText" text="Rigtig">
      <formula>NOT(ISERROR(SEARCH("Rigtig",D151)))</formula>
    </cfRule>
    <cfRule type="containsText" dxfId="78" priority="142" operator="containsText" text="Forkert">
      <formula>NOT(ISERROR(SEARCH("Forkert",D151)))</formula>
    </cfRule>
  </conditionalFormatting>
  <conditionalFormatting sqref="G10">
    <cfRule type="containsText" dxfId="77" priority="311" operator="containsText" text="Rigtig">
      <formula>NOT(ISERROR(SEARCH("Rigtig",G10)))</formula>
    </cfRule>
    <cfRule type="containsText" dxfId="76" priority="312" operator="containsText" text="Forkert">
      <formula>NOT(ISERROR(SEARCH("Forkert",G10)))</formula>
    </cfRule>
  </conditionalFormatting>
  <conditionalFormatting sqref="G28">
    <cfRule type="containsText" dxfId="75" priority="286" operator="containsText" text="Rigtig">
      <formula>NOT(ISERROR(SEARCH("Rigtig",G28)))</formula>
    </cfRule>
    <cfRule type="containsText" dxfId="74" priority="287" operator="containsText" text="Forkert">
      <formula>NOT(ISERROR(SEARCH("Forkert",G28)))</formula>
    </cfRule>
  </conditionalFormatting>
  <conditionalFormatting sqref="G47">
    <cfRule type="containsText" dxfId="73" priority="267" operator="containsText" text="Rigtig">
      <formula>NOT(ISERROR(SEARCH("Rigtig",G47)))</formula>
    </cfRule>
    <cfRule type="containsText" dxfId="72" priority="268" operator="containsText" text="Forkert">
      <formula>NOT(ISERROR(SEARCH("Forkert",G47)))</formula>
    </cfRule>
  </conditionalFormatting>
  <conditionalFormatting sqref="G66">
    <cfRule type="containsText" dxfId="71" priority="223" operator="containsText" text="Rigtig">
      <formula>NOT(ISERROR(SEARCH("Rigtig",G66)))</formula>
    </cfRule>
    <cfRule type="containsText" dxfId="70" priority="224" operator="containsText" text="Forkert">
      <formula>NOT(ISERROR(SEARCH("Forkert",G66)))</formula>
    </cfRule>
  </conditionalFormatting>
  <conditionalFormatting sqref="G86">
    <cfRule type="containsText" dxfId="69" priority="200" operator="containsText" text="Rigtig">
      <formula>NOT(ISERROR(SEARCH("Rigtig",G86)))</formula>
    </cfRule>
    <cfRule type="containsText" dxfId="68" priority="201" operator="containsText" text="Forkert">
      <formula>NOT(ISERROR(SEARCH("Forkert",G86)))</formula>
    </cfRule>
  </conditionalFormatting>
  <conditionalFormatting sqref="G105">
    <cfRule type="containsText" dxfId="67" priority="177" operator="containsText" text="Rigtig">
      <formula>NOT(ISERROR(SEARCH("Rigtig",G105)))</formula>
    </cfRule>
    <cfRule type="containsText" dxfId="66" priority="178" operator="containsText" text="Forkert">
      <formula>NOT(ISERROR(SEARCH("Forkert",G105)))</formula>
    </cfRule>
  </conditionalFormatting>
  <conditionalFormatting sqref="G124">
    <cfRule type="containsText" dxfId="65" priority="154" operator="containsText" text="Rigtig">
      <formula>NOT(ISERROR(SEARCH("Rigtig",G124)))</formula>
    </cfRule>
    <cfRule type="containsText" dxfId="64" priority="155" operator="containsText" text="Forkert">
      <formula>NOT(ISERROR(SEARCH("Forkert",G124)))</formula>
    </cfRule>
  </conditionalFormatting>
  <conditionalFormatting sqref="G143">
    <cfRule type="containsText" dxfId="63" priority="131" operator="containsText" text="Rigtig">
      <formula>NOT(ISERROR(SEARCH("Rigtig",G143)))</formula>
    </cfRule>
    <cfRule type="containsText" dxfId="62" priority="132" operator="containsText" text="Forkert">
      <formula>NOT(ISERROR(SEARCH("Forkert",G143)))</formula>
    </cfRule>
  </conditionalFormatting>
  <conditionalFormatting sqref="G4:H4">
    <cfRule type="containsText" dxfId="61" priority="80" operator="containsText" text="Rigtig">
      <formula>NOT(ISERROR(SEARCH("Rigtig",G4)))</formula>
    </cfRule>
    <cfRule type="containsText" dxfId="60" priority="81" operator="containsText" text="Forkert">
      <formula>NOT(ISERROR(SEARCH("Forkert",G4)))</formula>
    </cfRule>
  </conditionalFormatting>
  <conditionalFormatting sqref="G22:H22">
    <cfRule type="containsText" dxfId="59" priority="76" operator="containsText" text="Rigtig">
      <formula>NOT(ISERROR(SEARCH("Rigtig",G22)))</formula>
    </cfRule>
    <cfRule type="containsText" dxfId="58" priority="77" operator="containsText" text="Forkert">
      <formula>NOT(ISERROR(SEARCH("Forkert",G22)))</formula>
    </cfRule>
  </conditionalFormatting>
  <conditionalFormatting sqref="G41:H41">
    <cfRule type="containsText" dxfId="57" priority="72" operator="containsText" text="Rigtig">
      <formula>NOT(ISERROR(SEARCH("Rigtig",G41)))</formula>
    </cfRule>
    <cfRule type="containsText" dxfId="56" priority="73" operator="containsText" text="Forkert">
      <formula>NOT(ISERROR(SEARCH("Forkert",G41)))</formula>
    </cfRule>
  </conditionalFormatting>
  <conditionalFormatting sqref="G60:H60">
    <cfRule type="containsText" dxfId="55" priority="68" operator="containsText" text="Rigtig">
      <formula>NOT(ISERROR(SEARCH("Rigtig",G60)))</formula>
    </cfRule>
    <cfRule type="containsText" dxfId="54" priority="69" operator="containsText" text="Forkert">
      <formula>NOT(ISERROR(SEARCH("Forkert",G60)))</formula>
    </cfRule>
  </conditionalFormatting>
  <conditionalFormatting sqref="G80:H80">
    <cfRule type="containsText" dxfId="53" priority="64" operator="containsText" text="Rigtig">
      <formula>NOT(ISERROR(SEARCH("Rigtig",G80)))</formula>
    </cfRule>
    <cfRule type="containsText" dxfId="52" priority="65" operator="containsText" text="Forkert">
      <formula>NOT(ISERROR(SEARCH("Forkert",G80)))</formula>
    </cfRule>
  </conditionalFormatting>
  <conditionalFormatting sqref="G99:H99">
    <cfRule type="containsText" dxfId="51" priority="60" operator="containsText" text="Rigtig">
      <formula>NOT(ISERROR(SEARCH("Rigtig",G99)))</formula>
    </cfRule>
    <cfRule type="containsText" dxfId="50" priority="61" operator="containsText" text="Forkert">
      <formula>NOT(ISERROR(SEARCH("Forkert",G99)))</formula>
    </cfRule>
  </conditionalFormatting>
  <conditionalFormatting sqref="G118:H118">
    <cfRule type="containsText" dxfId="49" priority="56" operator="containsText" text="Rigtig">
      <formula>NOT(ISERROR(SEARCH("Rigtig",G118)))</formula>
    </cfRule>
    <cfRule type="containsText" dxfId="48" priority="57" operator="containsText" text="Forkert">
      <formula>NOT(ISERROR(SEARCH("Forkert",G118)))</formula>
    </cfRule>
  </conditionalFormatting>
  <conditionalFormatting sqref="G137:H137">
    <cfRule type="containsText" dxfId="47" priority="52" operator="containsText" text="Rigtig">
      <formula>NOT(ISERROR(SEARCH("Rigtig",G137)))</formula>
    </cfRule>
    <cfRule type="containsText" dxfId="46" priority="53" operator="containsText" text="Forkert">
      <formula>NOT(ISERROR(SEARCH("Forkert",G137)))</formula>
    </cfRule>
  </conditionalFormatting>
  <conditionalFormatting sqref="J14">
    <cfRule type="containsText" dxfId="45" priority="303" operator="containsText" text="Rigtig">
      <formula>NOT(ISERROR(SEARCH("Rigtig",J14)))</formula>
    </cfRule>
    <cfRule type="containsText" dxfId="44" priority="304" operator="containsText" text="Forkert">
      <formula>NOT(ISERROR(SEARCH("Forkert",J14)))</formula>
    </cfRule>
  </conditionalFormatting>
  <conditionalFormatting sqref="J18">
    <cfRule type="containsText" dxfId="43" priority="295" operator="containsText" text="Rigtig">
      <formula>NOT(ISERROR(SEARCH("Rigtig",J18)))</formula>
    </cfRule>
    <cfRule type="containsText" dxfId="42" priority="296" operator="containsText" text="Forkert">
      <formula>NOT(ISERROR(SEARCH("Forkert",J18)))</formula>
    </cfRule>
  </conditionalFormatting>
  <conditionalFormatting sqref="J32">
    <cfRule type="containsText" dxfId="41" priority="29" operator="containsText" text="Rigtig">
      <formula>NOT(ISERROR(SEARCH("Rigtig",J32)))</formula>
    </cfRule>
    <cfRule type="containsText" dxfId="40" priority="30" operator="containsText" text="Forkert">
      <formula>NOT(ISERROR(SEARCH("Forkert",J32)))</formula>
    </cfRule>
  </conditionalFormatting>
  <conditionalFormatting sqref="J36">
    <cfRule type="containsText" dxfId="39" priority="276" operator="containsText" text="Rigtig">
      <formula>NOT(ISERROR(SEARCH("Rigtig",J36)))</formula>
    </cfRule>
    <cfRule type="containsText" dxfId="38" priority="277" operator="containsText" text="Forkert">
      <formula>NOT(ISERROR(SEARCH("Forkert",J36)))</formula>
    </cfRule>
  </conditionalFormatting>
  <conditionalFormatting sqref="J51">
    <cfRule type="containsText" dxfId="37" priority="8" operator="containsText" text="Rigtig">
      <formula>NOT(ISERROR(SEARCH("Rigtig",J51)))</formula>
    </cfRule>
    <cfRule type="containsText" dxfId="36" priority="9" operator="containsText" text="Forkert">
      <formula>NOT(ISERROR(SEARCH("Forkert",J51)))</formula>
    </cfRule>
  </conditionalFormatting>
  <conditionalFormatting sqref="J55">
    <cfRule type="containsText" dxfId="35" priority="257" operator="containsText" text="Rigtig">
      <formula>NOT(ISERROR(SEARCH("Rigtig",J55)))</formula>
    </cfRule>
    <cfRule type="containsText" dxfId="34" priority="258" operator="containsText" text="Forkert">
      <formula>NOT(ISERROR(SEARCH("Forkert",J55)))</formula>
    </cfRule>
  </conditionalFormatting>
  <conditionalFormatting sqref="J70">
    <cfRule type="containsText" dxfId="33" priority="6" operator="containsText" text="Rigtig">
      <formula>NOT(ISERROR(SEARCH("Rigtig",J70)))</formula>
    </cfRule>
    <cfRule type="containsText" dxfId="32" priority="7" operator="containsText" text="Forkert">
      <formula>NOT(ISERROR(SEARCH("Forkert",J70)))</formula>
    </cfRule>
  </conditionalFormatting>
  <conditionalFormatting sqref="J74">
    <cfRule type="containsText" dxfId="31" priority="238" operator="containsText" text="Rigtig">
      <formula>NOT(ISERROR(SEARCH("Rigtig",J74)))</formula>
    </cfRule>
    <cfRule type="containsText" dxfId="30" priority="239" operator="containsText" text="Forkert">
      <formula>NOT(ISERROR(SEARCH("Forkert",J74)))</formula>
    </cfRule>
  </conditionalFormatting>
  <conditionalFormatting sqref="J90">
    <cfRule type="expression" dxfId="29" priority="2">
      <formula>$G$47&lt;&gt;"rigtig"</formula>
    </cfRule>
    <cfRule type="containsText" dxfId="28" priority="3" operator="containsText" text="Rigtig">
      <formula>NOT(ISERROR(SEARCH("Rigtig",J90)))</formula>
    </cfRule>
    <cfRule type="containsText" dxfId="27" priority="4" operator="containsText" text="Forkert">
      <formula>NOT(ISERROR(SEARCH("Forkert",J90)))</formula>
    </cfRule>
  </conditionalFormatting>
  <conditionalFormatting sqref="J94">
    <cfRule type="containsText" dxfId="26" priority="208" operator="containsText" text="Rigtig">
      <formula>NOT(ISERROR(SEARCH("Rigtig",J94)))</formula>
    </cfRule>
    <cfRule type="containsText" dxfId="25" priority="209" operator="containsText" text="Forkert">
      <formula>NOT(ISERROR(SEARCH("Forkert",J94)))</formula>
    </cfRule>
  </conditionalFormatting>
  <conditionalFormatting sqref="J109">
    <cfRule type="expression" dxfId="24" priority="16">
      <formula>$G$10&lt;&gt;"rigtig"</formula>
    </cfRule>
    <cfRule type="containsText" dxfId="23" priority="17" operator="containsText" text="Rigtig">
      <formula>NOT(ISERROR(SEARCH("Rigtig",J109)))</formula>
    </cfRule>
    <cfRule type="containsText" dxfId="22" priority="18" operator="containsText" text="Forkert">
      <formula>NOT(ISERROR(SEARCH("Forkert",J109)))</formula>
    </cfRule>
  </conditionalFormatting>
  <conditionalFormatting sqref="J113">
    <cfRule type="containsText" dxfId="21" priority="185" operator="containsText" text="Rigtig">
      <formula>NOT(ISERROR(SEARCH("Rigtig",J113)))</formula>
    </cfRule>
    <cfRule type="containsText" dxfId="20" priority="186" operator="containsText" text="Forkert">
      <formula>NOT(ISERROR(SEARCH("Forkert",J113)))</formula>
    </cfRule>
  </conditionalFormatting>
  <conditionalFormatting sqref="J128">
    <cfRule type="expression" dxfId="19" priority="13">
      <formula>$G$10&lt;&gt;"rigtig"</formula>
    </cfRule>
    <cfRule type="containsText" dxfId="18" priority="14" operator="containsText" text="Rigtig">
      <formula>NOT(ISERROR(SEARCH("Rigtig",J128)))</formula>
    </cfRule>
    <cfRule type="containsText" dxfId="17" priority="15" operator="containsText" text="Forkert">
      <formula>NOT(ISERROR(SEARCH("Forkert",J128)))</formula>
    </cfRule>
  </conditionalFormatting>
  <conditionalFormatting sqref="J132">
    <cfRule type="containsText" dxfId="16" priority="162" operator="containsText" text="Rigtig">
      <formula>NOT(ISERROR(SEARCH("Rigtig",J132)))</formula>
    </cfRule>
    <cfRule type="containsText" dxfId="15" priority="163" operator="containsText" text="Forkert">
      <formula>NOT(ISERROR(SEARCH("Forkert",J132)))</formula>
    </cfRule>
  </conditionalFormatting>
  <conditionalFormatting sqref="J147">
    <cfRule type="expression" dxfId="14" priority="10">
      <formula>$G$10&lt;&gt;"rigtig"</formula>
    </cfRule>
    <cfRule type="containsText" dxfId="13" priority="11" operator="containsText" text="Rigtig">
      <formula>NOT(ISERROR(SEARCH("Rigtig",J147)))</formula>
    </cfRule>
    <cfRule type="containsText" dxfId="12" priority="12" operator="containsText" text="Forkert">
      <formula>NOT(ISERROR(SEARCH("Forkert",J147)))</formula>
    </cfRule>
  </conditionalFormatting>
  <conditionalFormatting sqref="J151">
    <cfRule type="containsText" dxfId="11" priority="139" operator="containsText" text="Rigtig">
      <formula>NOT(ISERROR(SEARCH("Rigtig",J151)))</formula>
    </cfRule>
    <cfRule type="containsText" dxfId="10" priority="140" operator="containsText" text="Forkert">
      <formula>NOT(ISERROR(SEARCH("Forkert",J151)))</formula>
    </cfRule>
  </conditionalFormatting>
  <pageMargins left="0.7" right="0.7" top="0.75" bottom="0.75" header="0.3" footer="0.3"/>
  <pageSetup paperSize="9" orientation="portrait" r:id="rId1"/>
  <ignoredErrors>
    <ignoredError sqref="C7:I8 E6:F6 C12:I13 D10 C88:I89 D87 F87:I87 D86 F86:I86 C145:I146 D144 F144:I144 D143 F143:I143 C20:I23 D18:G18 C16:I17 E14:G14 E15:I15 C34:I35 E33:I33 D19:I19 C49:I50 F47:I47 C53:I54 E51:G51 E52:I52 E32:G32 C72:I73 E71:I71 C92:I93 E91:I91 C111:I112 E110:I110 C130:I131 E129:I129 C149:I150 E148:I148 E70:G70 C153:I154 D151:G151 C134:I138 D132:G132 D11 F11:I11 C30:I31 D28 F28:I28 D29 F29:I29 C25:I27 E24:F24 I24 F10:I10 I6 C9:E9 G9:I9 C38:I42 D36:G36 D37:I37 C64:I65 C63:D63 F63:H63 C45:I46 C44:H44 C57:I61 D55:G55 D56:I56 C76:I81 D74:G74 D75:I75 C126:I127 D124 F124 D125 F125:I125 H124:I124 E128:G128 C122:I123 C121 F121:G121 C140:I142 E139:F139 D133:I133 E43:F43 I43 D48 F48:I48 E62:F62 I62 C68:I69 D66 F66:I66 D67 F67:I67 C83:I85 E82:F82 I82 E90:G90 C96:I100 D94:G94 D95:I95 C102:I104 E101:F101 I101 C107:I108 D105 F105:I105 D106 F106:I106 E109:G109 C115:I119 D113:G113 D114:I114 E120:F120 I120 I139 E147:G147 D152:I152" numberStoredAsText="1"/>
  </ignoredError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7647D-E138-464C-A411-E8DD0777C3C3}">
  <sheetPr codeName="Sheet17"/>
  <dimension ref="B1:AD122"/>
  <sheetViews>
    <sheetView showGridLines="0" zoomScale="130" zoomScaleNormal="130" workbookViewId="0"/>
  </sheetViews>
  <sheetFormatPr defaultRowHeight="15" x14ac:dyDescent="0.25"/>
  <cols>
    <col min="7" max="7" width="55.42578125" customWidth="1"/>
    <col min="8" max="8" width="27.28515625" customWidth="1"/>
    <col min="9" max="9" width="10" customWidth="1"/>
    <col min="10" max="10" width="23.42578125" customWidth="1"/>
    <col min="11" max="11" width="40.28515625" customWidth="1"/>
    <col min="27" max="27" width="14.28515625" customWidth="1"/>
    <col min="28" max="29" width="10.5703125" customWidth="1"/>
  </cols>
  <sheetData>
    <row r="1" spans="2:30" x14ac:dyDescent="0.25">
      <c r="AA1" s="437"/>
      <c r="AB1" s="437"/>
      <c r="AC1" s="437"/>
      <c r="AD1" s="437"/>
    </row>
    <row r="2" spans="2:30" ht="62.25" thickBot="1" x14ac:dyDescent="0.95">
      <c r="B2" s="388" t="s">
        <v>773</v>
      </c>
      <c r="C2" s="389"/>
      <c r="D2" s="389"/>
      <c r="E2" s="389"/>
      <c r="F2" s="389"/>
      <c r="G2" s="390"/>
      <c r="H2" s="389"/>
      <c r="I2" s="389"/>
      <c r="J2" s="389"/>
      <c r="K2" s="389"/>
      <c r="L2" s="391"/>
      <c r="AA2" s="437"/>
      <c r="AB2" s="437"/>
      <c r="AC2" s="437"/>
      <c r="AD2" s="437"/>
    </row>
    <row r="3" spans="2:30" x14ac:dyDescent="0.25">
      <c r="B3" s="17" t="s">
        <v>1104</v>
      </c>
      <c r="L3" s="18"/>
      <c r="AA3" s="437"/>
      <c r="AB3" s="437"/>
      <c r="AC3" s="437"/>
      <c r="AD3" s="437"/>
    </row>
    <row r="4" spans="2:30" x14ac:dyDescent="0.25">
      <c r="B4" s="17" t="s">
        <v>891</v>
      </c>
      <c r="L4" s="18"/>
      <c r="AA4" s="437"/>
      <c r="AB4" s="437"/>
      <c r="AC4" s="437"/>
      <c r="AD4" s="437"/>
    </row>
    <row r="5" spans="2:30" x14ac:dyDescent="0.25">
      <c r="B5" s="17"/>
      <c r="L5" s="18"/>
      <c r="AA5" s="437"/>
      <c r="AB5" s="437"/>
      <c r="AC5" s="437"/>
      <c r="AD5" s="437"/>
    </row>
    <row r="6" spans="2:30" x14ac:dyDescent="0.25">
      <c r="B6" s="17"/>
      <c r="L6" s="18"/>
      <c r="AA6" s="437"/>
      <c r="AB6" s="437"/>
      <c r="AC6" s="437"/>
      <c r="AD6" s="437"/>
    </row>
    <row r="7" spans="2:30" ht="15.75" thickBot="1" x14ac:dyDescent="0.3">
      <c r="B7" s="392"/>
      <c r="C7" s="173"/>
      <c r="D7" s="173"/>
      <c r="E7" s="173"/>
      <c r="F7" s="173"/>
      <c r="G7" s="173"/>
      <c r="H7" s="173"/>
      <c r="I7" s="173"/>
      <c r="J7" s="173"/>
      <c r="K7" s="173"/>
      <c r="L7" s="18"/>
      <c r="AA7" s="437"/>
      <c r="AB7" s="437"/>
      <c r="AC7" s="437"/>
      <c r="AD7" s="437"/>
    </row>
    <row r="8" spans="2:30" ht="22.5" thickTop="1" thickBot="1" x14ac:dyDescent="0.4">
      <c r="B8" s="186" t="s">
        <v>770</v>
      </c>
      <c r="C8" s="186"/>
      <c r="D8" s="186"/>
      <c r="E8" s="186"/>
      <c r="F8" s="186"/>
      <c r="G8" s="186"/>
      <c r="H8" s="186"/>
      <c r="I8" s="187"/>
      <c r="J8" s="188" t="s">
        <v>754</v>
      </c>
      <c r="K8" s="189"/>
      <c r="L8" s="18"/>
      <c r="AA8" s="437"/>
      <c r="AB8" s="437"/>
      <c r="AC8" s="437"/>
      <c r="AD8" s="437"/>
    </row>
    <row r="9" spans="2:30" ht="20.25" thickTop="1" thickBot="1" x14ac:dyDescent="0.3">
      <c r="B9" s="520" t="s">
        <v>764</v>
      </c>
      <c r="C9" s="521"/>
      <c r="D9" s="521"/>
      <c r="E9" s="521"/>
      <c r="F9" s="521"/>
      <c r="G9" s="522"/>
      <c r="H9" s="371" t="s">
        <v>63</v>
      </c>
      <c r="I9" s="184" t="s">
        <v>123</v>
      </c>
      <c r="J9" s="185" t="s">
        <v>755</v>
      </c>
      <c r="K9" s="184" t="str" cm="1">
        <f t="array" ref="K9">IF(OR(LEN(J10:J19)&gt;0),"Hint: Ordet starter med:","")</f>
        <v/>
      </c>
      <c r="L9" s="18"/>
      <c r="AA9" s="437"/>
      <c r="AB9" s="437"/>
      <c r="AC9" s="437"/>
      <c r="AD9" s="437"/>
    </row>
    <row r="10" spans="2:30" ht="19.5" thickTop="1" x14ac:dyDescent="0.3">
      <c r="B10" s="393" t="s">
        <v>65</v>
      </c>
      <c r="C10" s="182"/>
      <c r="D10" s="182"/>
      <c r="E10" s="182"/>
      <c r="F10" s="182"/>
      <c r="G10" s="183"/>
      <c r="H10" s="372"/>
      <c r="I10" s="179" t="str">
        <f t="shared" ref="I10:I19" si="0">IF(H10="","",IF(OR(LEFT(H10,LEN(AA10))=AA10, IF(AB10&lt;&gt;"",H10=AB10,H10="SNYD")),"Rigtig","Forkert"))</f>
        <v/>
      </c>
      <c r="J10" s="180"/>
      <c r="K10" s="181" t="str">
        <f t="shared" ref="K10:K19" si="1">IF(I10="Rigtig","Flot! Læs evt. mere på s. "&amp;AD10&amp;" i BasiskemiC",IF(LEN(J10)&lt;4,LEFT(AA10,LEN(J10)),"Slå ordet op i BasisKemiC på s. "&amp;AD10))</f>
        <v/>
      </c>
      <c r="L10" s="18"/>
      <c r="AA10" s="437" t="s">
        <v>751</v>
      </c>
      <c r="AB10" s="437"/>
      <c r="AC10" s="437"/>
      <c r="AD10" s="437">
        <v>13</v>
      </c>
    </row>
    <row r="11" spans="2:30" ht="18.75" x14ac:dyDescent="0.3">
      <c r="B11" s="394" t="s">
        <v>64</v>
      </c>
      <c r="C11" s="14"/>
      <c r="D11" s="14"/>
      <c r="E11" s="14"/>
      <c r="F11" s="14"/>
      <c r="G11" s="15"/>
      <c r="H11" s="373"/>
      <c r="I11" s="179" t="str">
        <f t="shared" si="0"/>
        <v/>
      </c>
      <c r="J11" s="177"/>
      <c r="K11" s="181" t="str">
        <f t="shared" si="1"/>
        <v/>
      </c>
      <c r="L11" s="18"/>
      <c r="AA11" s="437" t="s">
        <v>199</v>
      </c>
      <c r="AB11" s="437"/>
      <c r="AC11" s="437"/>
      <c r="AD11" s="437">
        <v>14</v>
      </c>
    </row>
    <row r="12" spans="2:30" ht="18.75" x14ac:dyDescent="0.3">
      <c r="B12" s="394" t="s">
        <v>66</v>
      </c>
      <c r="C12" s="14"/>
      <c r="D12" s="14"/>
      <c r="E12" s="14"/>
      <c r="F12" s="14"/>
      <c r="G12" s="15"/>
      <c r="H12" s="373"/>
      <c r="I12" s="179" t="str">
        <f t="shared" si="0"/>
        <v/>
      </c>
      <c r="J12" s="177"/>
      <c r="K12" s="181" t="str">
        <f t="shared" si="1"/>
        <v/>
      </c>
      <c r="L12" s="18"/>
      <c r="AA12" s="437" t="s">
        <v>200</v>
      </c>
      <c r="AB12" s="437"/>
      <c r="AC12" s="437"/>
      <c r="AD12" s="437">
        <v>8</v>
      </c>
    </row>
    <row r="13" spans="2:30" ht="18.75" x14ac:dyDescent="0.3">
      <c r="B13" s="394" t="s">
        <v>67</v>
      </c>
      <c r="C13" s="14"/>
      <c r="D13" s="14"/>
      <c r="E13" s="14"/>
      <c r="F13" s="14"/>
      <c r="G13" s="15"/>
      <c r="H13" s="373"/>
      <c r="I13" s="179" t="str">
        <f t="shared" si="0"/>
        <v/>
      </c>
      <c r="J13" s="177"/>
      <c r="K13" s="181" t="str">
        <f t="shared" si="1"/>
        <v/>
      </c>
      <c r="L13" s="18"/>
      <c r="AA13" s="437" t="s">
        <v>68</v>
      </c>
      <c r="AB13" s="437"/>
      <c r="AC13" s="437"/>
      <c r="AD13" s="437">
        <v>9</v>
      </c>
    </row>
    <row r="14" spans="2:30" ht="18.75" x14ac:dyDescent="0.3">
      <c r="B14" s="394" t="s">
        <v>752</v>
      </c>
      <c r="C14" s="14"/>
      <c r="D14" s="14"/>
      <c r="E14" s="14"/>
      <c r="F14" s="14"/>
      <c r="G14" s="15"/>
      <c r="H14" s="373"/>
      <c r="I14" s="179" t="str">
        <f t="shared" si="0"/>
        <v/>
      </c>
      <c r="J14" s="177"/>
      <c r="K14" s="181" t="str">
        <f t="shared" si="1"/>
        <v/>
      </c>
      <c r="L14" s="18"/>
      <c r="AA14" s="437" t="s">
        <v>753</v>
      </c>
      <c r="AB14" s="437" t="s">
        <v>750</v>
      </c>
      <c r="AC14" s="437"/>
      <c r="AD14" s="437">
        <v>13</v>
      </c>
    </row>
    <row r="15" spans="2:30" ht="18.75" x14ac:dyDescent="0.3">
      <c r="B15" s="394" t="s">
        <v>758</v>
      </c>
      <c r="C15" s="14"/>
      <c r="D15" s="14"/>
      <c r="E15" s="14"/>
      <c r="F15" s="14"/>
      <c r="G15" s="15"/>
      <c r="H15" s="373"/>
      <c r="I15" s="179" t="str">
        <f t="shared" si="0"/>
        <v/>
      </c>
      <c r="J15" s="177"/>
      <c r="K15" s="181" t="str">
        <f t="shared" si="1"/>
        <v/>
      </c>
      <c r="L15" s="18"/>
      <c r="AA15" s="437" t="s">
        <v>762</v>
      </c>
      <c r="AB15" s="437" t="s">
        <v>763</v>
      </c>
      <c r="AC15" s="437"/>
      <c r="AD15" s="437">
        <v>19</v>
      </c>
    </row>
    <row r="16" spans="2:30" ht="18.75" x14ac:dyDescent="0.3">
      <c r="B16" s="394" t="s">
        <v>759</v>
      </c>
      <c r="C16" s="14"/>
      <c r="D16" s="14"/>
      <c r="E16" s="14"/>
      <c r="F16" s="14"/>
      <c r="G16" s="15"/>
      <c r="H16" s="373"/>
      <c r="I16" s="179" t="str">
        <f t="shared" si="0"/>
        <v/>
      </c>
      <c r="J16" s="177"/>
      <c r="K16" s="181" t="str">
        <f t="shared" si="1"/>
        <v/>
      </c>
      <c r="L16" s="18"/>
      <c r="N16" s="28"/>
      <c r="AA16" s="437" t="s">
        <v>760</v>
      </c>
      <c r="AB16" s="437" t="s">
        <v>761</v>
      </c>
      <c r="AC16" s="437"/>
      <c r="AD16" s="437">
        <v>19</v>
      </c>
    </row>
    <row r="17" spans="2:30" ht="18.75" x14ac:dyDescent="0.3">
      <c r="B17" s="394" t="s">
        <v>71</v>
      </c>
      <c r="C17" s="14"/>
      <c r="D17" s="14"/>
      <c r="E17" s="14"/>
      <c r="F17" s="14"/>
      <c r="G17" s="15"/>
      <c r="H17" s="373"/>
      <c r="I17" s="179" t="str">
        <f t="shared" si="0"/>
        <v/>
      </c>
      <c r="J17" s="177"/>
      <c r="K17" s="181" t="str">
        <f t="shared" si="1"/>
        <v/>
      </c>
      <c r="L17" s="18"/>
      <c r="AA17" s="437" t="s">
        <v>69</v>
      </c>
      <c r="AB17" s="437" t="s">
        <v>70</v>
      </c>
      <c r="AC17" s="437"/>
      <c r="AD17" s="437">
        <v>9</v>
      </c>
    </row>
    <row r="18" spans="2:30" ht="18.75" x14ac:dyDescent="0.3">
      <c r="B18" s="394" t="s">
        <v>74</v>
      </c>
      <c r="C18" s="14"/>
      <c r="D18" s="14"/>
      <c r="E18" s="14"/>
      <c r="F18" s="14"/>
      <c r="G18" s="15"/>
      <c r="H18" s="373"/>
      <c r="I18" s="179" t="str">
        <f t="shared" si="0"/>
        <v/>
      </c>
      <c r="J18" s="177"/>
      <c r="K18" s="181" t="str">
        <f t="shared" si="1"/>
        <v/>
      </c>
      <c r="L18" s="18"/>
      <c r="AA18" s="437" t="s">
        <v>72</v>
      </c>
      <c r="AB18" s="437" t="s">
        <v>73</v>
      </c>
      <c r="AC18" s="437"/>
      <c r="AD18" s="437">
        <v>26</v>
      </c>
    </row>
    <row r="19" spans="2:30" ht="19.5" thickBot="1" x14ac:dyDescent="0.35">
      <c r="B19" s="395" t="s">
        <v>75</v>
      </c>
      <c r="C19" s="175"/>
      <c r="D19" s="175"/>
      <c r="E19" s="175"/>
      <c r="F19" s="175"/>
      <c r="G19" s="176"/>
      <c r="H19" s="374"/>
      <c r="I19" s="196" t="str">
        <f t="shared" si="0"/>
        <v/>
      </c>
      <c r="J19" s="178"/>
      <c r="K19" s="215" t="str">
        <f t="shared" si="1"/>
        <v/>
      </c>
      <c r="L19" s="18"/>
      <c r="AA19" s="437" t="s">
        <v>76</v>
      </c>
      <c r="AB19" s="437" t="s">
        <v>750</v>
      </c>
      <c r="AC19" s="437"/>
      <c r="AD19" s="437">
        <v>8</v>
      </c>
    </row>
    <row r="20" spans="2:30" ht="15.75" thickTop="1" x14ac:dyDescent="0.25">
      <c r="B20" s="17"/>
      <c r="I20" s="197"/>
      <c r="L20" s="18"/>
      <c r="AA20" s="437"/>
      <c r="AB20" s="437"/>
      <c r="AC20" s="437"/>
      <c r="AD20" s="437"/>
    </row>
    <row r="21" spans="2:30" ht="15.75" thickBot="1" x14ac:dyDescent="0.3">
      <c r="B21" s="392"/>
      <c r="C21" s="173"/>
      <c r="D21" s="173"/>
      <c r="E21" s="173"/>
      <c r="F21" s="173"/>
      <c r="G21" s="173"/>
      <c r="H21" s="173"/>
      <c r="I21" s="173"/>
      <c r="J21" s="173"/>
      <c r="K21" s="173"/>
      <c r="L21" s="18"/>
      <c r="AA21" s="437"/>
      <c r="AB21" s="437"/>
      <c r="AC21" s="437"/>
      <c r="AD21" s="437"/>
    </row>
    <row r="22" spans="2:30" ht="22.5" thickTop="1" thickBot="1" x14ac:dyDescent="0.4">
      <c r="B22" s="186" t="s">
        <v>769</v>
      </c>
      <c r="C22" s="186"/>
      <c r="D22" s="186"/>
      <c r="E22" s="186"/>
      <c r="F22" s="186"/>
      <c r="G22" s="186"/>
      <c r="H22" s="186"/>
      <c r="I22" s="187"/>
      <c r="J22" s="188" t="s">
        <v>754</v>
      </c>
      <c r="K22" s="189"/>
      <c r="L22" s="18"/>
      <c r="AA22" s="437"/>
      <c r="AB22" s="437"/>
      <c r="AC22" s="437"/>
      <c r="AD22" s="437"/>
    </row>
    <row r="23" spans="2:30" ht="20.25" thickTop="1" thickBot="1" x14ac:dyDescent="0.3">
      <c r="B23" s="520" t="s">
        <v>764</v>
      </c>
      <c r="C23" s="521"/>
      <c r="D23" s="521"/>
      <c r="E23" s="521"/>
      <c r="F23" s="521"/>
      <c r="G23" s="522"/>
      <c r="H23" s="371" t="s">
        <v>63</v>
      </c>
      <c r="I23" s="184" t="s">
        <v>123</v>
      </c>
      <c r="J23" s="185" t="s">
        <v>755</v>
      </c>
      <c r="K23" s="184" t="str" cm="1">
        <f t="array" ref="K23">IF(OR(LEN(J24:J33)&gt;0),"Hint: Ordet starter med:","")</f>
        <v/>
      </c>
      <c r="L23" s="18"/>
      <c r="AA23" s="437"/>
      <c r="AB23" s="437"/>
      <c r="AC23" s="437"/>
      <c r="AD23" s="437"/>
    </row>
    <row r="24" spans="2:30" ht="19.5" thickTop="1" x14ac:dyDescent="0.3">
      <c r="B24" s="393" t="s">
        <v>756</v>
      </c>
      <c r="C24" s="182"/>
      <c r="D24" s="182"/>
      <c r="E24" s="182"/>
      <c r="F24" s="182"/>
      <c r="G24" s="183"/>
      <c r="H24" s="372"/>
      <c r="I24" s="179" t="str">
        <f t="shared" ref="I24:I33" si="2">IF(H24="","",IF(OR(LEFT(H24,LEN(AA24))=AA24, IF(AB24&lt;&gt;"",H24=AB24,H24="SNYD")),"Rigtig","Forkert"))</f>
        <v/>
      </c>
      <c r="J24" s="180"/>
      <c r="K24" s="181" t="str">
        <f t="shared" ref="K24:K33" si="3">IF(I24="Rigtig","Flot! Læs evt. mere på s. "&amp;AD24&amp;" i BasiskemiC",IF(LEN(J24)&lt;4,LEFT(AA24,LEN(J24)),"Slå ordet op i BasisKemiC på s. "&amp;AD24))</f>
        <v/>
      </c>
      <c r="L24" s="18"/>
      <c r="AA24" s="437" t="s">
        <v>766</v>
      </c>
      <c r="AB24" s="437"/>
      <c r="AC24" s="437"/>
      <c r="AD24" s="437">
        <v>43</v>
      </c>
    </row>
    <row r="25" spans="2:30" ht="18.75" x14ac:dyDescent="0.3">
      <c r="B25" s="394" t="s">
        <v>757</v>
      </c>
      <c r="C25" s="14"/>
      <c r="D25" s="14"/>
      <c r="E25" s="14"/>
      <c r="F25" s="14"/>
      <c r="G25" s="15"/>
      <c r="H25" s="373"/>
      <c r="I25" s="179" t="str">
        <f t="shared" si="2"/>
        <v/>
      </c>
      <c r="J25" s="177"/>
      <c r="K25" s="181" t="str">
        <f t="shared" si="3"/>
        <v/>
      </c>
      <c r="L25" s="18"/>
      <c r="AA25" s="437" t="s">
        <v>765</v>
      </c>
      <c r="AB25" s="437"/>
      <c r="AC25" s="437"/>
      <c r="AD25" s="437">
        <v>43</v>
      </c>
    </row>
    <row r="26" spans="2:30" ht="18.75" x14ac:dyDescent="0.3">
      <c r="B26" s="394" t="s">
        <v>784</v>
      </c>
      <c r="C26" s="14"/>
      <c r="D26" s="14"/>
      <c r="E26" s="14"/>
      <c r="F26" s="14"/>
      <c r="G26" s="15"/>
      <c r="H26" s="373"/>
      <c r="I26" s="179" t="str">
        <f t="shared" si="2"/>
        <v/>
      </c>
      <c r="J26" s="177"/>
      <c r="K26" s="181" t="str">
        <f t="shared" si="3"/>
        <v/>
      </c>
      <c r="L26" s="18"/>
      <c r="AA26" s="437" t="s">
        <v>783</v>
      </c>
      <c r="AB26" s="437"/>
      <c r="AC26" s="437"/>
      <c r="AD26" s="437">
        <v>37</v>
      </c>
    </row>
    <row r="27" spans="2:30" ht="18.75" x14ac:dyDescent="0.3">
      <c r="B27" s="394" t="s">
        <v>768</v>
      </c>
      <c r="C27" s="14"/>
      <c r="D27" s="14"/>
      <c r="E27" s="14"/>
      <c r="F27" s="14"/>
      <c r="G27" s="15"/>
      <c r="H27" s="373"/>
      <c r="I27" s="179" t="str">
        <f t="shared" si="2"/>
        <v/>
      </c>
      <c r="J27" s="177"/>
      <c r="K27" s="181" t="str">
        <f t="shared" si="3"/>
        <v/>
      </c>
      <c r="L27" s="18"/>
      <c r="AA27" s="437" t="s">
        <v>767</v>
      </c>
      <c r="AB27" s="437"/>
      <c r="AC27" s="437"/>
      <c r="AD27" s="437">
        <v>37</v>
      </c>
    </row>
    <row r="28" spans="2:30" ht="18.75" x14ac:dyDescent="0.3">
      <c r="B28" s="394" t="s">
        <v>776</v>
      </c>
      <c r="C28" s="14"/>
      <c r="D28" s="14"/>
      <c r="E28" s="14"/>
      <c r="F28" s="14"/>
      <c r="G28" s="15"/>
      <c r="H28" s="373"/>
      <c r="I28" s="179" t="str">
        <f t="shared" si="2"/>
        <v/>
      </c>
      <c r="J28" s="177"/>
      <c r="K28" s="181" t="str">
        <f t="shared" si="3"/>
        <v/>
      </c>
      <c r="L28" s="18"/>
      <c r="AA28" s="437" t="s">
        <v>775</v>
      </c>
      <c r="AB28" s="437"/>
      <c r="AC28" s="437"/>
      <c r="AD28" s="437">
        <v>46</v>
      </c>
    </row>
    <row r="29" spans="2:30" ht="18.75" x14ac:dyDescent="0.3">
      <c r="B29" s="394" t="s">
        <v>772</v>
      </c>
      <c r="C29" s="14"/>
      <c r="D29" s="14"/>
      <c r="E29" s="14"/>
      <c r="F29" s="14"/>
      <c r="G29" s="15"/>
      <c r="H29" s="373"/>
      <c r="I29" s="179" t="str">
        <f t="shared" si="2"/>
        <v/>
      </c>
      <c r="J29" s="177"/>
      <c r="K29" s="181" t="str">
        <f t="shared" si="3"/>
        <v/>
      </c>
      <c r="L29" s="18"/>
      <c r="AA29" s="437" t="s">
        <v>771</v>
      </c>
      <c r="AB29" s="437"/>
      <c r="AC29" s="437"/>
      <c r="AD29" s="437">
        <v>46</v>
      </c>
    </row>
    <row r="30" spans="2:30" ht="18.75" x14ac:dyDescent="0.3">
      <c r="B30" s="394" t="s">
        <v>1078</v>
      </c>
      <c r="C30" s="14"/>
      <c r="D30" s="14"/>
      <c r="E30" s="14"/>
      <c r="F30" s="14"/>
      <c r="G30" s="15"/>
      <c r="H30" s="373"/>
      <c r="I30" s="179" t="str">
        <f t="shared" si="2"/>
        <v/>
      </c>
      <c r="J30" s="177"/>
      <c r="K30" s="181" t="str">
        <f t="shared" si="3"/>
        <v/>
      </c>
      <c r="L30" s="18"/>
      <c r="AA30" s="437" t="s">
        <v>777</v>
      </c>
      <c r="AB30" s="437"/>
      <c r="AC30" s="437"/>
      <c r="AD30" s="437">
        <v>46</v>
      </c>
    </row>
    <row r="31" spans="2:30" ht="18.75" x14ac:dyDescent="0.3">
      <c r="B31" s="394" t="s">
        <v>778</v>
      </c>
      <c r="C31" s="14"/>
      <c r="D31" s="14"/>
      <c r="E31" s="14"/>
      <c r="F31" s="14"/>
      <c r="G31" s="15"/>
      <c r="H31" s="373"/>
      <c r="I31" s="179" t="str">
        <f t="shared" si="2"/>
        <v/>
      </c>
      <c r="J31" s="177"/>
      <c r="K31" s="181" t="str">
        <f t="shared" si="3"/>
        <v/>
      </c>
      <c r="L31" s="18"/>
      <c r="AA31" s="437" t="s">
        <v>779</v>
      </c>
      <c r="AB31" s="437"/>
      <c r="AC31" s="437"/>
      <c r="AD31" s="437">
        <v>32</v>
      </c>
    </row>
    <row r="32" spans="2:30" ht="18.75" x14ac:dyDescent="0.3">
      <c r="B32" s="394" t="s">
        <v>1079</v>
      </c>
      <c r="C32" s="14"/>
      <c r="D32" s="14"/>
      <c r="E32" s="14"/>
      <c r="F32" s="14"/>
      <c r="G32" s="15"/>
      <c r="H32" s="373"/>
      <c r="I32" s="179" t="str">
        <f t="shared" si="2"/>
        <v/>
      </c>
      <c r="J32" s="177"/>
      <c r="K32" s="181" t="str">
        <f t="shared" si="3"/>
        <v/>
      </c>
      <c r="L32" s="18"/>
      <c r="AA32" s="437" t="s">
        <v>780</v>
      </c>
      <c r="AB32" s="437"/>
      <c r="AC32" s="437"/>
      <c r="AD32" s="437">
        <v>38</v>
      </c>
    </row>
    <row r="33" spans="2:30" ht="19.5" thickBot="1" x14ac:dyDescent="0.35">
      <c r="B33" s="395" t="s">
        <v>781</v>
      </c>
      <c r="C33" s="175"/>
      <c r="D33" s="175"/>
      <c r="E33" s="175"/>
      <c r="F33" s="175"/>
      <c r="G33" s="176"/>
      <c r="H33" s="374"/>
      <c r="I33" s="174" t="str">
        <f t="shared" si="2"/>
        <v/>
      </c>
      <c r="J33" s="178"/>
      <c r="K33" s="215" t="str">
        <f t="shared" si="3"/>
        <v/>
      </c>
      <c r="L33" s="18"/>
      <c r="AA33" s="437" t="s">
        <v>782</v>
      </c>
      <c r="AB33" s="437"/>
      <c r="AC33" s="437"/>
      <c r="AD33" s="437">
        <v>42</v>
      </c>
    </row>
    <row r="34" spans="2:30" ht="15.75" thickTop="1" x14ac:dyDescent="0.25">
      <c r="B34" s="17"/>
      <c r="L34" s="18"/>
      <c r="AA34" s="437"/>
      <c r="AB34" s="437"/>
      <c r="AC34" s="437"/>
      <c r="AD34" s="437"/>
    </row>
    <row r="35" spans="2:30" ht="15.75" thickBot="1" x14ac:dyDescent="0.3">
      <c r="B35" s="392"/>
      <c r="C35" s="173"/>
      <c r="D35" s="173"/>
      <c r="E35" s="173"/>
      <c r="F35" s="173"/>
      <c r="G35" s="173"/>
      <c r="H35" s="173"/>
      <c r="I35" s="173"/>
      <c r="J35" s="173"/>
      <c r="K35" s="173"/>
      <c r="L35" s="18"/>
      <c r="AA35" s="437"/>
      <c r="AB35" s="437"/>
      <c r="AC35" s="437"/>
      <c r="AD35" s="437"/>
    </row>
    <row r="36" spans="2:30" ht="22.5" thickTop="1" thickBot="1" x14ac:dyDescent="0.4">
      <c r="B36" s="186" t="s">
        <v>774</v>
      </c>
      <c r="C36" s="186"/>
      <c r="D36" s="186"/>
      <c r="E36" s="186"/>
      <c r="F36" s="186"/>
      <c r="G36" s="186"/>
      <c r="H36" s="186"/>
      <c r="I36" s="187"/>
      <c r="J36" s="188" t="s">
        <v>754</v>
      </c>
      <c r="K36" s="189"/>
      <c r="L36" s="18"/>
      <c r="AA36" s="437"/>
      <c r="AB36" s="437"/>
      <c r="AC36" s="437"/>
      <c r="AD36" s="437"/>
    </row>
    <row r="37" spans="2:30" ht="20.25" thickTop="1" thickBot="1" x14ac:dyDescent="0.3">
      <c r="B37" s="520" t="s">
        <v>764</v>
      </c>
      <c r="C37" s="521"/>
      <c r="D37" s="521"/>
      <c r="E37" s="521"/>
      <c r="F37" s="521"/>
      <c r="G37" s="522"/>
      <c r="H37" s="371" t="s">
        <v>63</v>
      </c>
      <c r="I37" s="184" t="s">
        <v>123</v>
      </c>
      <c r="J37" s="185" t="s">
        <v>755</v>
      </c>
      <c r="K37" s="184" t="str" cm="1">
        <f t="array" ref="K37">IF(OR(LEN(J38:J47)&gt;0),"Hint: Ordet starter med:","")</f>
        <v/>
      </c>
      <c r="L37" s="18"/>
      <c r="AA37" s="437"/>
      <c r="AB37" s="437"/>
      <c r="AC37" s="437"/>
      <c r="AD37" s="437"/>
    </row>
    <row r="38" spans="2:30" ht="19.5" thickTop="1" x14ac:dyDescent="0.3">
      <c r="B38" s="393" t="s">
        <v>795</v>
      </c>
      <c r="C38" s="182"/>
      <c r="D38" s="182"/>
      <c r="E38" s="182"/>
      <c r="F38" s="182"/>
      <c r="G38" s="183"/>
      <c r="H38" s="372"/>
      <c r="I38" s="179" t="str">
        <f t="shared" ref="I38:I47" si="4">IF(H38="","",IF(OR(LEFT(H38,LEN(AA38))=AA38, IF(AB38&lt;&gt;"",H38=AB38,H38="SNYD")),"Rigtig","Forkert"))</f>
        <v/>
      </c>
      <c r="J38" s="180"/>
      <c r="K38" s="181" t="str">
        <f t="shared" ref="K38:K47" si="5">IF(I38="Rigtig","Flot! Læs evt. mere på s. "&amp;AD38&amp;" i BasiskemiC",IF(LEN(J38)&lt;4,LEFT(AA38,LEN(J38)),"Slå ordet op i BasisKemiC på s. "&amp;AD38))</f>
        <v/>
      </c>
      <c r="L38" s="18"/>
      <c r="AA38" s="437" t="s">
        <v>796</v>
      </c>
      <c r="AB38" s="437"/>
      <c r="AC38" s="437"/>
      <c r="AD38" s="437">
        <v>56</v>
      </c>
    </row>
    <row r="39" spans="2:30" ht="18.75" x14ac:dyDescent="0.3">
      <c r="B39" s="394" t="s">
        <v>800</v>
      </c>
      <c r="C39" s="14"/>
      <c r="D39" s="14"/>
      <c r="E39" s="14"/>
      <c r="F39" s="14"/>
      <c r="G39" s="15"/>
      <c r="H39" s="373"/>
      <c r="I39" s="179" t="str">
        <f t="shared" si="4"/>
        <v/>
      </c>
      <c r="J39" s="177"/>
      <c r="K39" s="181" t="str">
        <f t="shared" si="5"/>
        <v/>
      </c>
      <c r="L39" s="18"/>
      <c r="AA39" s="437" t="s">
        <v>785</v>
      </c>
      <c r="AB39" s="437" t="s">
        <v>801</v>
      </c>
      <c r="AC39" s="437"/>
      <c r="AD39" s="437">
        <v>118</v>
      </c>
    </row>
    <row r="40" spans="2:30" ht="18.75" x14ac:dyDescent="0.3">
      <c r="B40" s="394" t="s">
        <v>792</v>
      </c>
      <c r="C40" s="14"/>
      <c r="D40" s="14"/>
      <c r="E40" s="14"/>
      <c r="F40" s="14"/>
      <c r="G40" s="15"/>
      <c r="H40" s="373"/>
      <c r="I40" s="179" t="str">
        <f t="shared" si="4"/>
        <v/>
      </c>
      <c r="J40" s="177"/>
      <c r="K40" s="181" t="str">
        <f t="shared" si="5"/>
        <v/>
      </c>
      <c r="L40" s="18"/>
      <c r="AA40" s="437" t="s">
        <v>793</v>
      </c>
      <c r="AB40" s="437" t="s">
        <v>794</v>
      </c>
      <c r="AC40" s="437"/>
      <c r="AD40" s="437">
        <v>57</v>
      </c>
    </row>
    <row r="41" spans="2:30" ht="18.75" x14ac:dyDescent="0.3">
      <c r="B41" s="394" t="s">
        <v>797</v>
      </c>
      <c r="C41" s="14"/>
      <c r="D41" s="14"/>
      <c r="E41" s="14"/>
      <c r="F41" s="14"/>
      <c r="G41" s="15"/>
      <c r="H41" s="373"/>
      <c r="I41" s="179" t="str">
        <f t="shared" si="4"/>
        <v/>
      </c>
      <c r="J41" s="177"/>
      <c r="K41" s="181" t="str">
        <f t="shared" si="5"/>
        <v/>
      </c>
      <c r="L41" s="18"/>
      <c r="AA41" s="437" t="s">
        <v>798</v>
      </c>
      <c r="AB41" s="437"/>
      <c r="AC41" s="437"/>
      <c r="AD41" s="437">
        <v>67</v>
      </c>
    </row>
    <row r="42" spans="2:30" ht="18.75" x14ac:dyDescent="0.3">
      <c r="B42" s="394" t="s">
        <v>788</v>
      </c>
      <c r="C42" s="14"/>
      <c r="D42" s="14"/>
      <c r="E42" s="14"/>
      <c r="F42" s="14"/>
      <c r="G42" s="15"/>
      <c r="H42" s="373"/>
      <c r="I42" s="179" t="str">
        <f t="shared" si="4"/>
        <v/>
      </c>
      <c r="J42" s="177"/>
      <c r="K42" s="181" t="str">
        <f t="shared" si="5"/>
        <v/>
      </c>
      <c r="L42" s="18"/>
      <c r="AA42" s="437" t="s">
        <v>790</v>
      </c>
      <c r="AB42" s="437"/>
      <c r="AC42" s="437"/>
      <c r="AD42" s="437">
        <v>58</v>
      </c>
    </row>
    <row r="43" spans="2:30" ht="18.75" x14ac:dyDescent="0.3">
      <c r="B43" s="394" t="s">
        <v>789</v>
      </c>
      <c r="C43" s="14"/>
      <c r="D43" s="14"/>
      <c r="E43" s="14"/>
      <c r="F43" s="14"/>
      <c r="G43" s="15"/>
      <c r="H43" s="373"/>
      <c r="I43" s="179" t="str">
        <f t="shared" si="4"/>
        <v/>
      </c>
      <c r="J43" s="177"/>
      <c r="K43" s="181" t="str">
        <f t="shared" si="5"/>
        <v/>
      </c>
      <c r="L43" s="18"/>
      <c r="AA43" s="437" t="s">
        <v>787</v>
      </c>
      <c r="AB43" s="437"/>
      <c r="AC43" s="437"/>
      <c r="AD43" s="437">
        <v>74</v>
      </c>
    </row>
    <row r="44" spans="2:30" ht="18.75" x14ac:dyDescent="0.3">
      <c r="B44" s="394" t="s">
        <v>799</v>
      </c>
      <c r="C44" s="14"/>
      <c r="D44" s="14"/>
      <c r="E44" s="14"/>
      <c r="F44" s="14"/>
      <c r="G44" s="15"/>
      <c r="H44" s="373"/>
      <c r="I44" s="179" t="str">
        <f t="shared" si="4"/>
        <v/>
      </c>
      <c r="J44" s="177"/>
      <c r="K44" s="181" t="str">
        <f t="shared" si="5"/>
        <v/>
      </c>
      <c r="L44" s="18"/>
      <c r="AA44" s="437" t="s">
        <v>802</v>
      </c>
      <c r="AB44" s="437"/>
      <c r="AC44" s="437"/>
      <c r="AD44" s="437">
        <v>56</v>
      </c>
    </row>
    <row r="45" spans="2:30" ht="18.75" x14ac:dyDescent="0.3">
      <c r="B45" s="394" t="s">
        <v>803</v>
      </c>
      <c r="C45" s="14"/>
      <c r="D45" s="14"/>
      <c r="E45" s="14"/>
      <c r="F45" s="14"/>
      <c r="G45" s="15"/>
      <c r="H45" s="373"/>
      <c r="I45" s="179" t="str">
        <f t="shared" si="4"/>
        <v/>
      </c>
      <c r="J45" s="177"/>
      <c r="K45" s="181" t="str">
        <f t="shared" si="5"/>
        <v/>
      </c>
      <c r="L45" s="18"/>
      <c r="AA45" s="437" t="s">
        <v>804</v>
      </c>
      <c r="AB45" s="437"/>
      <c r="AC45" s="437"/>
      <c r="AD45" s="437">
        <v>59</v>
      </c>
    </row>
    <row r="46" spans="2:30" ht="18.75" x14ac:dyDescent="0.3">
      <c r="B46" s="394" t="s">
        <v>805</v>
      </c>
      <c r="C46" s="14"/>
      <c r="D46" s="14"/>
      <c r="E46" s="14"/>
      <c r="F46" s="14"/>
      <c r="G46" s="15"/>
      <c r="H46" s="373"/>
      <c r="I46" s="179" t="str">
        <f t="shared" si="4"/>
        <v/>
      </c>
      <c r="J46" s="177"/>
      <c r="K46" s="181" t="str">
        <f t="shared" si="5"/>
        <v/>
      </c>
      <c r="L46" s="18"/>
      <c r="AA46" s="437" t="s">
        <v>806</v>
      </c>
      <c r="AB46" s="437"/>
      <c r="AC46" s="437"/>
      <c r="AD46" s="437">
        <v>57</v>
      </c>
    </row>
    <row r="47" spans="2:30" ht="19.5" thickBot="1" x14ac:dyDescent="0.35">
      <c r="B47" s="395" t="s">
        <v>791</v>
      </c>
      <c r="C47" s="175"/>
      <c r="D47" s="175"/>
      <c r="E47" s="175"/>
      <c r="F47" s="175"/>
      <c r="G47" s="176"/>
      <c r="H47" s="374"/>
      <c r="I47" s="174" t="str">
        <f t="shared" si="4"/>
        <v/>
      </c>
      <c r="J47" s="178"/>
      <c r="K47" s="215" t="str">
        <f t="shared" si="5"/>
        <v/>
      </c>
      <c r="L47" s="18"/>
      <c r="AA47" s="437" t="s">
        <v>786</v>
      </c>
      <c r="AB47" s="437"/>
      <c r="AC47" s="437"/>
      <c r="AD47" s="437">
        <v>71</v>
      </c>
    </row>
    <row r="48" spans="2:30" ht="15.75" thickTop="1" x14ac:dyDescent="0.25">
      <c r="L48" s="18"/>
      <c r="AA48" s="437"/>
      <c r="AB48" s="437"/>
      <c r="AC48" s="437"/>
      <c r="AD48" s="437"/>
    </row>
    <row r="49" spans="2:30" ht="15.75" thickBot="1" x14ac:dyDescent="0.3">
      <c r="M49" s="17"/>
      <c r="AA49" s="437"/>
      <c r="AB49" s="437"/>
      <c r="AC49" s="437"/>
      <c r="AD49" s="437"/>
    </row>
    <row r="50" spans="2:30" ht="22.5" thickTop="1" thickBot="1" x14ac:dyDescent="0.4">
      <c r="B50" s="186" t="s">
        <v>821</v>
      </c>
      <c r="C50" s="186"/>
      <c r="D50" s="186"/>
      <c r="E50" s="186"/>
      <c r="F50" s="186"/>
      <c r="G50" s="186"/>
      <c r="H50" s="186"/>
      <c r="I50" s="187"/>
      <c r="J50" s="188" t="s">
        <v>754</v>
      </c>
      <c r="K50" s="189"/>
      <c r="L50" s="18"/>
      <c r="AA50" s="437"/>
      <c r="AB50" s="437"/>
      <c r="AC50" s="437"/>
      <c r="AD50" s="437"/>
    </row>
    <row r="51" spans="2:30" ht="20.25" thickTop="1" thickBot="1" x14ac:dyDescent="0.3">
      <c r="B51" s="520" t="s">
        <v>764</v>
      </c>
      <c r="C51" s="521"/>
      <c r="D51" s="521"/>
      <c r="E51" s="521"/>
      <c r="F51" s="521"/>
      <c r="G51" s="522"/>
      <c r="H51" s="371" t="s">
        <v>63</v>
      </c>
      <c r="I51" s="184" t="s">
        <v>123</v>
      </c>
      <c r="J51" s="185" t="s">
        <v>755</v>
      </c>
      <c r="K51" s="184" t="str" cm="1">
        <f t="array" ref="K51">IF(OR(LEN(J52:J61)&gt;0),"Hint: Ordet starter med:","")</f>
        <v/>
      </c>
      <c r="L51" s="18"/>
      <c r="AA51" s="437"/>
      <c r="AB51" s="437"/>
      <c r="AC51" s="437"/>
      <c r="AD51" s="437"/>
    </row>
    <row r="52" spans="2:30" ht="19.5" thickTop="1" x14ac:dyDescent="0.3">
      <c r="B52" s="393" t="s">
        <v>1081</v>
      </c>
      <c r="C52" s="182"/>
      <c r="D52" s="182"/>
      <c r="E52" s="182"/>
      <c r="F52" s="182"/>
      <c r="G52" s="183"/>
      <c r="H52" s="372"/>
      <c r="I52" s="179" t="str">
        <f t="shared" ref="I52:I61" si="6">IF(H52="","",IF(OR(LEFT(H52,LEN(AA52))=AA52, IF(AB52&lt;&gt;"",H52=AB52,H52="SNYD")),"Rigtig","Forkert"))</f>
        <v/>
      </c>
      <c r="J52" s="180"/>
      <c r="K52" s="181" t="str">
        <f t="shared" ref="K52:K61" si="7">IF(I52="Rigtig","Flot! Læs evt. mere på s. "&amp;AD52&amp;" i BasiskemiC",IF(LEN(J52)&lt;4,LEFT(AA52,LEN(J52)),"Slå ordet op i BasisKemiC på s. "&amp;AD52))</f>
        <v/>
      </c>
      <c r="L52" s="18"/>
      <c r="AA52" s="437" t="s">
        <v>825</v>
      </c>
      <c r="AB52" s="437" t="s">
        <v>826</v>
      </c>
      <c r="AC52" s="437"/>
      <c r="AD52" s="437">
        <v>79</v>
      </c>
    </row>
    <row r="53" spans="2:30" ht="18.75" x14ac:dyDescent="0.3">
      <c r="B53" s="394" t="s">
        <v>832</v>
      </c>
      <c r="C53" s="14"/>
      <c r="D53" s="14"/>
      <c r="E53" s="14"/>
      <c r="F53" s="14"/>
      <c r="G53" s="15"/>
      <c r="H53" s="373"/>
      <c r="I53" s="179" t="str">
        <f t="shared" si="6"/>
        <v/>
      </c>
      <c r="J53" s="177"/>
      <c r="K53" s="181" t="str">
        <f t="shared" si="7"/>
        <v/>
      </c>
      <c r="L53" s="18"/>
      <c r="AA53" s="437" t="s">
        <v>827</v>
      </c>
      <c r="AB53" s="437" t="s">
        <v>828</v>
      </c>
      <c r="AC53" s="437"/>
      <c r="AD53" s="437">
        <v>79</v>
      </c>
    </row>
    <row r="54" spans="2:30" ht="18.75" x14ac:dyDescent="0.3">
      <c r="B54" s="394" t="s">
        <v>829</v>
      </c>
      <c r="C54" s="14"/>
      <c r="D54" s="14"/>
      <c r="E54" s="14"/>
      <c r="F54" s="14"/>
      <c r="G54" s="15"/>
      <c r="H54" s="373"/>
      <c r="I54" s="179" t="str">
        <f t="shared" si="6"/>
        <v/>
      </c>
      <c r="J54" s="177"/>
      <c r="K54" s="181" t="str">
        <f t="shared" si="7"/>
        <v/>
      </c>
      <c r="L54" s="18"/>
      <c r="AA54" s="437" t="s">
        <v>830</v>
      </c>
      <c r="AB54" s="437"/>
      <c r="AC54" s="437"/>
      <c r="AD54" s="437">
        <v>80</v>
      </c>
    </row>
    <row r="55" spans="2:30" ht="18.75" x14ac:dyDescent="0.3">
      <c r="B55" s="394" t="s">
        <v>822</v>
      </c>
      <c r="C55" s="14"/>
      <c r="D55" s="14"/>
      <c r="E55" s="14"/>
      <c r="F55" s="14"/>
      <c r="G55" s="15"/>
      <c r="H55" s="373"/>
      <c r="I55" s="179" t="str">
        <f t="shared" si="6"/>
        <v/>
      </c>
      <c r="J55" s="177"/>
      <c r="K55" s="181" t="str">
        <f t="shared" si="7"/>
        <v/>
      </c>
      <c r="L55" s="18"/>
      <c r="AA55" s="437" t="s">
        <v>823</v>
      </c>
      <c r="AB55" s="437" t="s">
        <v>824</v>
      </c>
      <c r="AC55" s="437"/>
      <c r="AD55" s="437" t="s">
        <v>836</v>
      </c>
    </row>
    <row r="56" spans="2:30" ht="18.75" x14ac:dyDescent="0.3">
      <c r="B56" s="394" t="s">
        <v>831</v>
      </c>
      <c r="C56" s="14"/>
      <c r="D56" s="14"/>
      <c r="E56" s="14"/>
      <c r="F56" s="14"/>
      <c r="G56" s="15"/>
      <c r="H56" s="373"/>
      <c r="I56" s="179" t="str">
        <f t="shared" si="6"/>
        <v/>
      </c>
      <c r="J56" s="177"/>
      <c r="K56" s="181" t="str">
        <f t="shared" si="7"/>
        <v/>
      </c>
      <c r="L56" s="18"/>
      <c r="AA56" s="437" t="s">
        <v>833</v>
      </c>
      <c r="AB56" s="437"/>
      <c r="AC56" s="437"/>
      <c r="AD56" s="437">
        <v>83</v>
      </c>
    </row>
    <row r="57" spans="2:30" ht="18.75" x14ac:dyDescent="0.3">
      <c r="B57" s="394" t="s">
        <v>834</v>
      </c>
      <c r="C57" s="14"/>
      <c r="D57" s="14"/>
      <c r="E57" s="14"/>
      <c r="F57" s="14"/>
      <c r="G57" s="15"/>
      <c r="H57" s="373"/>
      <c r="I57" s="179" t="str">
        <f t="shared" si="6"/>
        <v/>
      </c>
      <c r="J57" s="177"/>
      <c r="K57" s="181" t="str">
        <f t="shared" si="7"/>
        <v/>
      </c>
      <c r="L57" s="18"/>
      <c r="AA57" s="437" t="s">
        <v>835</v>
      </c>
      <c r="AB57" s="437" t="s">
        <v>890</v>
      </c>
      <c r="AC57" s="437"/>
      <c r="AD57" s="437">
        <v>89</v>
      </c>
    </row>
    <row r="58" spans="2:30" ht="18.75" x14ac:dyDescent="0.3">
      <c r="B58" s="394" t="s">
        <v>1082</v>
      </c>
      <c r="C58" s="14"/>
      <c r="D58" s="14"/>
      <c r="E58" s="14"/>
      <c r="F58" s="14"/>
      <c r="G58" s="15"/>
      <c r="H58" s="373"/>
      <c r="I58" s="179" t="str">
        <f t="shared" si="6"/>
        <v/>
      </c>
      <c r="J58" s="177"/>
      <c r="K58" s="181" t="str">
        <f t="shared" si="7"/>
        <v/>
      </c>
      <c r="L58" s="18"/>
      <c r="AA58" s="437" t="s">
        <v>845</v>
      </c>
      <c r="AB58" s="437" t="s">
        <v>846</v>
      </c>
      <c r="AC58" s="437"/>
      <c r="AD58" s="437">
        <v>86</v>
      </c>
    </row>
    <row r="59" spans="2:30" ht="18.75" x14ac:dyDescent="0.3">
      <c r="B59" s="394" t="s">
        <v>842</v>
      </c>
      <c r="C59" s="14"/>
      <c r="D59" s="14"/>
      <c r="E59" s="14"/>
      <c r="F59" s="14"/>
      <c r="G59" s="15"/>
      <c r="H59" s="373"/>
      <c r="I59" s="179" t="str">
        <f t="shared" si="6"/>
        <v/>
      </c>
      <c r="J59" s="177"/>
      <c r="K59" s="181" t="str">
        <f t="shared" si="7"/>
        <v/>
      </c>
      <c r="L59" s="18"/>
      <c r="AA59" s="437" t="s">
        <v>843</v>
      </c>
      <c r="AB59" s="437"/>
      <c r="AC59" s="437"/>
      <c r="AD59" s="437">
        <v>96</v>
      </c>
    </row>
    <row r="60" spans="2:30" ht="18.75" x14ac:dyDescent="0.3">
      <c r="B60" s="394" t="s">
        <v>837</v>
      </c>
      <c r="C60" s="14"/>
      <c r="D60" s="14"/>
      <c r="E60" s="14"/>
      <c r="F60" s="14"/>
      <c r="G60" s="15"/>
      <c r="H60" s="373"/>
      <c r="I60" s="179" t="str">
        <f t="shared" si="6"/>
        <v/>
      </c>
      <c r="J60" s="177"/>
      <c r="K60" s="181" t="str">
        <f t="shared" si="7"/>
        <v/>
      </c>
      <c r="L60" s="18"/>
      <c r="AA60" s="437" t="s">
        <v>838</v>
      </c>
      <c r="AB60" s="437" t="s">
        <v>839</v>
      </c>
      <c r="AC60" s="437"/>
      <c r="AD60" s="437">
        <v>97</v>
      </c>
    </row>
    <row r="61" spans="2:30" ht="19.5" thickBot="1" x14ac:dyDescent="0.35">
      <c r="B61" s="395" t="s">
        <v>844</v>
      </c>
      <c r="C61" s="175"/>
      <c r="D61" s="175"/>
      <c r="E61" s="175"/>
      <c r="F61" s="175"/>
      <c r="G61" s="176"/>
      <c r="H61" s="374"/>
      <c r="I61" s="174" t="str">
        <f t="shared" si="6"/>
        <v/>
      </c>
      <c r="J61" s="178"/>
      <c r="K61" s="215" t="str">
        <f t="shared" si="7"/>
        <v/>
      </c>
      <c r="L61" s="18"/>
      <c r="AA61" s="437" t="s">
        <v>840</v>
      </c>
      <c r="AB61" s="437" t="s">
        <v>841</v>
      </c>
      <c r="AC61" s="437"/>
      <c r="AD61" s="437">
        <v>97</v>
      </c>
    </row>
    <row r="62" spans="2:30" ht="15.75" thickTop="1" x14ac:dyDescent="0.25">
      <c r="B62" s="17"/>
      <c r="L62" s="18"/>
      <c r="AA62" s="437"/>
      <c r="AB62" s="437"/>
      <c r="AC62" s="437"/>
      <c r="AD62" s="437"/>
    </row>
    <row r="63" spans="2:30" ht="15.75" thickBot="1" x14ac:dyDescent="0.3">
      <c r="B63" s="392"/>
      <c r="C63" s="173"/>
      <c r="D63" s="173"/>
      <c r="E63" s="173"/>
      <c r="F63" s="173"/>
      <c r="G63" s="173"/>
      <c r="H63" s="173"/>
      <c r="I63" s="173"/>
      <c r="J63" s="173"/>
      <c r="K63" s="173"/>
      <c r="L63" s="18"/>
      <c r="AA63" s="437"/>
      <c r="AB63" s="437"/>
      <c r="AC63" s="437"/>
      <c r="AD63" s="437"/>
    </row>
    <row r="64" spans="2:30" ht="22.5" thickTop="1" thickBot="1" x14ac:dyDescent="0.4">
      <c r="B64" s="186" t="s">
        <v>847</v>
      </c>
      <c r="C64" s="186"/>
      <c r="D64" s="186"/>
      <c r="E64" s="186"/>
      <c r="F64" s="186"/>
      <c r="G64" s="186"/>
      <c r="H64" s="186"/>
      <c r="I64" s="187"/>
      <c r="J64" s="188" t="s">
        <v>754</v>
      </c>
      <c r="K64" s="189"/>
      <c r="L64" s="18"/>
      <c r="AA64" s="437"/>
      <c r="AB64" s="437"/>
      <c r="AC64" s="437"/>
      <c r="AD64" s="437"/>
    </row>
    <row r="65" spans="2:30" ht="20.25" thickTop="1" thickBot="1" x14ac:dyDescent="0.3">
      <c r="B65" s="520" t="s">
        <v>764</v>
      </c>
      <c r="C65" s="521"/>
      <c r="D65" s="521"/>
      <c r="E65" s="521"/>
      <c r="F65" s="521"/>
      <c r="G65" s="522"/>
      <c r="H65" s="371" t="s">
        <v>63</v>
      </c>
      <c r="I65" s="184" t="s">
        <v>123</v>
      </c>
      <c r="J65" s="185" t="s">
        <v>755</v>
      </c>
      <c r="K65" s="184" t="str" cm="1">
        <f t="array" ref="K65">IF(OR(LEN(J66:J75)&gt;0),"Hint: Ordet starter med:","")</f>
        <v/>
      </c>
      <c r="L65" s="18"/>
      <c r="AA65" s="437"/>
      <c r="AB65" s="437"/>
      <c r="AC65" s="437"/>
      <c r="AD65" s="437"/>
    </row>
    <row r="66" spans="2:30" ht="19.5" thickTop="1" x14ac:dyDescent="0.3">
      <c r="B66" s="393" t="s">
        <v>848</v>
      </c>
      <c r="C66" s="182"/>
      <c r="D66" s="182"/>
      <c r="E66" s="182"/>
      <c r="F66" s="182"/>
      <c r="G66" s="183"/>
      <c r="H66" s="372"/>
      <c r="I66" s="179" t="str">
        <f t="shared" ref="I66:I75" si="8">IF(H66="","",IF(OR(LEFT(H66,LEN(AA66))=AA66, IF(AB66&lt;&gt;"",H66=AB66,H66="SNYD")),"Rigtig","Forkert"))</f>
        <v/>
      </c>
      <c r="J66" s="180"/>
      <c r="K66" s="181" t="str">
        <f t="shared" ref="K66:K75" si="9">IF(I66="Rigtig","Flot! Læs evt. mere på s. "&amp;AD66&amp;" i BasiskemiC",IF(LEN(J66)&lt;4,LEFT(AA66,LEN(J66)),"Slå ordet op i BasisKemiC på s. "&amp;AD66))</f>
        <v/>
      </c>
      <c r="L66" s="18"/>
      <c r="AA66" s="437" t="s">
        <v>850</v>
      </c>
      <c r="AB66" s="437" t="s">
        <v>849</v>
      </c>
      <c r="AC66" s="437"/>
      <c r="AD66" s="437">
        <v>104</v>
      </c>
    </row>
    <row r="67" spans="2:30" ht="18.75" x14ac:dyDescent="0.3">
      <c r="B67" s="394" t="s">
        <v>1083</v>
      </c>
      <c r="C67" s="14"/>
      <c r="D67" s="14"/>
      <c r="E67" s="14"/>
      <c r="F67" s="14"/>
      <c r="G67" s="15"/>
      <c r="H67" s="373"/>
      <c r="I67" s="179" t="str">
        <f t="shared" si="8"/>
        <v/>
      </c>
      <c r="J67" s="177"/>
      <c r="K67" s="181" t="str">
        <f t="shared" si="9"/>
        <v/>
      </c>
      <c r="L67" s="18"/>
      <c r="AA67" s="437" t="s">
        <v>851</v>
      </c>
      <c r="AB67" s="437"/>
      <c r="AC67" s="437"/>
      <c r="AD67" s="437">
        <v>107</v>
      </c>
    </row>
    <row r="68" spans="2:30" ht="18.75" x14ac:dyDescent="0.3">
      <c r="B68" s="394" t="s">
        <v>852</v>
      </c>
      <c r="C68" s="14"/>
      <c r="D68" s="14"/>
      <c r="E68" s="14"/>
      <c r="F68" s="14"/>
      <c r="G68" s="15"/>
      <c r="H68" s="373"/>
      <c r="I68" s="179" t="str">
        <f t="shared" si="8"/>
        <v/>
      </c>
      <c r="J68" s="177"/>
      <c r="K68" s="181" t="str">
        <f t="shared" si="9"/>
        <v/>
      </c>
      <c r="L68" s="18"/>
      <c r="AA68" s="437" t="s">
        <v>853</v>
      </c>
      <c r="AB68" s="437" t="s">
        <v>854</v>
      </c>
      <c r="AC68" s="437"/>
      <c r="AD68" s="437">
        <v>106</v>
      </c>
    </row>
    <row r="69" spans="2:30" ht="18.75" x14ac:dyDescent="0.3">
      <c r="B69" s="394" t="s">
        <v>855</v>
      </c>
      <c r="C69" s="14"/>
      <c r="D69" s="14"/>
      <c r="E69" s="14"/>
      <c r="F69" s="14"/>
      <c r="G69" s="15"/>
      <c r="H69" s="373"/>
      <c r="I69" s="179" t="str">
        <f t="shared" si="8"/>
        <v/>
      </c>
      <c r="J69" s="177"/>
      <c r="K69" s="181" t="str">
        <f t="shared" si="9"/>
        <v/>
      </c>
      <c r="L69" s="18"/>
      <c r="AA69" s="437" t="s">
        <v>856</v>
      </c>
      <c r="AB69" s="437"/>
      <c r="AC69" s="437"/>
      <c r="AD69" s="437">
        <v>106</v>
      </c>
    </row>
    <row r="70" spans="2:30" ht="18.75" x14ac:dyDescent="0.3">
      <c r="B70" s="394" t="s">
        <v>1084</v>
      </c>
      <c r="C70" s="14"/>
      <c r="D70" s="14"/>
      <c r="E70" s="14"/>
      <c r="F70" s="14"/>
      <c r="G70" s="15"/>
      <c r="H70" s="373"/>
      <c r="I70" s="179" t="str">
        <f t="shared" si="8"/>
        <v/>
      </c>
      <c r="J70" s="177"/>
      <c r="K70" s="181" t="str">
        <f t="shared" si="9"/>
        <v/>
      </c>
      <c r="L70" s="18"/>
      <c r="AA70" s="437" t="s">
        <v>857</v>
      </c>
      <c r="AB70" s="437"/>
      <c r="AC70" s="437"/>
      <c r="AD70" s="437">
        <v>109</v>
      </c>
    </row>
    <row r="71" spans="2:30" ht="18.75" x14ac:dyDescent="0.3">
      <c r="B71" s="394" t="s">
        <v>866</v>
      </c>
      <c r="C71" s="14"/>
      <c r="D71" s="14"/>
      <c r="E71" s="14"/>
      <c r="F71" s="14"/>
      <c r="G71" s="15"/>
      <c r="H71" s="373"/>
      <c r="I71" s="179" t="str">
        <f t="shared" si="8"/>
        <v/>
      </c>
      <c r="J71" s="177"/>
      <c r="K71" s="181" t="str">
        <f t="shared" si="9"/>
        <v/>
      </c>
      <c r="L71" s="18"/>
      <c r="AA71" s="437" t="s">
        <v>858</v>
      </c>
      <c r="AB71" s="437"/>
      <c r="AC71" s="437"/>
      <c r="AD71" s="437">
        <v>109</v>
      </c>
    </row>
    <row r="72" spans="2:30" ht="18.75" x14ac:dyDescent="0.3">
      <c r="B72" s="394" t="s">
        <v>867</v>
      </c>
      <c r="C72" s="14"/>
      <c r="D72" s="14"/>
      <c r="E72" s="14"/>
      <c r="F72" s="14"/>
      <c r="G72" s="15"/>
      <c r="H72" s="373"/>
      <c r="I72" s="179" t="str">
        <f t="shared" si="8"/>
        <v/>
      </c>
      <c r="J72" s="177"/>
      <c r="K72" s="181" t="str">
        <f t="shared" si="9"/>
        <v/>
      </c>
      <c r="L72" s="18"/>
      <c r="AA72" s="437" t="s">
        <v>863</v>
      </c>
      <c r="AB72" s="437"/>
      <c r="AC72" s="437"/>
      <c r="AD72" s="437">
        <v>112</v>
      </c>
    </row>
    <row r="73" spans="2:30" ht="18.75" x14ac:dyDescent="0.3">
      <c r="B73" s="394" t="s">
        <v>859</v>
      </c>
      <c r="C73" s="14"/>
      <c r="D73" s="14"/>
      <c r="E73" s="14"/>
      <c r="F73" s="14"/>
      <c r="G73" s="15"/>
      <c r="H73" s="373"/>
      <c r="I73" s="179" t="str">
        <f t="shared" si="8"/>
        <v/>
      </c>
      <c r="J73" s="177"/>
      <c r="K73" s="181" t="str">
        <f t="shared" si="9"/>
        <v/>
      </c>
      <c r="L73" s="18"/>
      <c r="AA73" s="437" t="s">
        <v>862</v>
      </c>
      <c r="AB73" s="437"/>
      <c r="AC73" s="437"/>
      <c r="AD73" s="437">
        <v>112</v>
      </c>
    </row>
    <row r="74" spans="2:30" ht="18.75" x14ac:dyDescent="0.3">
      <c r="B74" s="394" t="s">
        <v>1085</v>
      </c>
      <c r="C74" s="14"/>
      <c r="D74" s="14"/>
      <c r="E74" s="14"/>
      <c r="F74" s="14"/>
      <c r="G74" s="15"/>
      <c r="H74" s="373"/>
      <c r="I74" s="179" t="str">
        <f t="shared" si="8"/>
        <v/>
      </c>
      <c r="J74" s="177"/>
      <c r="K74" s="181" t="str">
        <f t="shared" si="9"/>
        <v/>
      </c>
      <c r="L74" s="18"/>
      <c r="AA74" s="437" t="s">
        <v>860</v>
      </c>
      <c r="AB74" s="437" t="s">
        <v>861</v>
      </c>
      <c r="AC74" s="437"/>
      <c r="AD74" s="437">
        <v>112</v>
      </c>
    </row>
    <row r="75" spans="2:30" ht="19.5" thickBot="1" x14ac:dyDescent="0.35">
      <c r="B75" s="395" t="s">
        <v>864</v>
      </c>
      <c r="C75" s="175"/>
      <c r="D75" s="175"/>
      <c r="E75" s="175"/>
      <c r="F75" s="175"/>
      <c r="G75" s="176"/>
      <c r="H75" s="374"/>
      <c r="I75" s="196" t="str">
        <f t="shared" si="8"/>
        <v/>
      </c>
      <c r="J75" s="178"/>
      <c r="K75" s="215" t="str">
        <f t="shared" si="9"/>
        <v/>
      </c>
      <c r="L75" s="18"/>
      <c r="AA75" s="437" t="s">
        <v>865</v>
      </c>
      <c r="AB75" s="437"/>
      <c r="AC75" s="437"/>
      <c r="AD75" s="437">
        <v>112</v>
      </c>
    </row>
    <row r="76" spans="2:30" ht="15.75" thickTop="1" x14ac:dyDescent="0.25">
      <c r="B76" s="17"/>
      <c r="I76" s="197"/>
      <c r="L76" s="18"/>
      <c r="AA76" s="437"/>
      <c r="AB76" s="437"/>
      <c r="AC76" s="437"/>
      <c r="AD76" s="437"/>
    </row>
    <row r="77" spans="2:30" ht="15.75" thickBot="1" x14ac:dyDescent="0.3">
      <c r="B77" s="392"/>
      <c r="C77" s="173"/>
      <c r="D77" s="173"/>
      <c r="E77" s="173"/>
      <c r="F77" s="173"/>
      <c r="G77" s="173"/>
      <c r="H77" s="173"/>
      <c r="I77" s="173"/>
      <c r="J77" s="173"/>
      <c r="K77" s="173"/>
      <c r="L77" s="18"/>
      <c r="AA77" s="437"/>
      <c r="AB77" s="437"/>
      <c r="AC77" s="437"/>
      <c r="AD77" s="437"/>
    </row>
    <row r="78" spans="2:30" ht="22.5" thickTop="1" thickBot="1" x14ac:dyDescent="0.4">
      <c r="B78" s="186" t="s">
        <v>868</v>
      </c>
      <c r="C78" s="186"/>
      <c r="D78" s="186"/>
      <c r="E78" s="186"/>
      <c r="F78" s="186"/>
      <c r="G78" s="186"/>
      <c r="H78" s="186"/>
      <c r="I78" s="187"/>
      <c r="J78" s="188" t="s">
        <v>754</v>
      </c>
      <c r="K78" s="189"/>
      <c r="L78" s="18"/>
      <c r="AA78" s="437"/>
      <c r="AB78" s="437"/>
      <c r="AC78" s="437"/>
      <c r="AD78" s="437"/>
    </row>
    <row r="79" spans="2:30" ht="20.25" thickTop="1" thickBot="1" x14ac:dyDescent="0.3">
      <c r="B79" s="520" t="s">
        <v>764</v>
      </c>
      <c r="C79" s="521"/>
      <c r="D79" s="521"/>
      <c r="E79" s="521"/>
      <c r="F79" s="521"/>
      <c r="G79" s="522"/>
      <c r="H79" s="371" t="s">
        <v>63</v>
      </c>
      <c r="I79" s="184" t="s">
        <v>123</v>
      </c>
      <c r="J79" s="185" t="s">
        <v>755</v>
      </c>
      <c r="K79" s="184" t="str" cm="1">
        <f t="array" ref="K79">IF(OR(LEN(J80:J89)&gt;0),"Hint: Ordet starter med:","")</f>
        <v/>
      </c>
      <c r="L79" s="18"/>
      <c r="AA79" s="437"/>
      <c r="AB79" s="437"/>
      <c r="AC79" s="437"/>
      <c r="AD79" s="437"/>
    </row>
    <row r="80" spans="2:30" ht="19.5" thickTop="1" x14ac:dyDescent="0.3">
      <c r="B80" s="393" t="s">
        <v>1086</v>
      </c>
      <c r="C80" s="182"/>
      <c r="D80" s="182"/>
      <c r="E80" s="182"/>
      <c r="F80" s="182"/>
      <c r="G80" s="183"/>
      <c r="H80" s="372"/>
      <c r="I80" s="179" t="str">
        <f t="shared" ref="I80:I89" si="10">IF(H80="","",IF(OR(LEFT(H80,LEN(AA80))=AA80, IF(AB80&lt;&gt;"",H80=AB80,H80="SNYD")),"Rigtig","Forkert"))</f>
        <v/>
      </c>
      <c r="J80" s="180"/>
      <c r="K80" s="181" t="str">
        <f t="shared" ref="K80:K89" si="11">IF(I80="Rigtig","Flot! Læs evt. mere på s. "&amp;AD80&amp;" i BasiskemiC",IF(LEN(J80)&lt;4,LEFT(AA80,LEN(J80)),"Slå ordet op i BasisKemiC på s. "&amp;AD80))</f>
        <v/>
      </c>
      <c r="L80" s="18"/>
      <c r="AA80" s="437" t="s">
        <v>873</v>
      </c>
      <c r="AB80" s="437"/>
      <c r="AC80" s="437"/>
      <c r="AD80" s="437">
        <v>117</v>
      </c>
    </row>
    <row r="81" spans="2:30" ht="18.75" x14ac:dyDescent="0.3">
      <c r="B81" s="394" t="s">
        <v>874</v>
      </c>
      <c r="C81" s="14"/>
      <c r="D81" s="14"/>
      <c r="E81" s="14"/>
      <c r="F81" s="14"/>
      <c r="G81" s="15"/>
      <c r="H81" s="373"/>
      <c r="I81" s="179" t="str">
        <f t="shared" si="10"/>
        <v/>
      </c>
      <c r="J81" s="177"/>
      <c r="K81" s="181" t="str">
        <f t="shared" si="11"/>
        <v/>
      </c>
      <c r="L81" s="18"/>
      <c r="AA81" s="437">
        <v>4</v>
      </c>
      <c r="AB81" s="437"/>
      <c r="AC81" s="437"/>
      <c r="AD81" s="437">
        <v>118</v>
      </c>
    </row>
    <row r="82" spans="2:30" ht="18.75" x14ac:dyDescent="0.3">
      <c r="B82" s="394" t="s">
        <v>875</v>
      </c>
      <c r="C82" s="14"/>
      <c r="D82" s="14"/>
      <c r="E82" s="14"/>
      <c r="F82" s="14"/>
      <c r="G82" s="15"/>
      <c r="H82" s="373"/>
      <c r="I82" s="179" t="str">
        <f t="shared" si="10"/>
        <v/>
      </c>
      <c r="J82" s="177"/>
      <c r="K82" s="181" t="str">
        <f t="shared" si="11"/>
        <v/>
      </c>
      <c r="L82" s="18"/>
      <c r="AA82" s="437" t="s">
        <v>876</v>
      </c>
      <c r="AB82" s="437"/>
      <c r="AC82" s="437"/>
      <c r="AD82" s="437">
        <v>122</v>
      </c>
    </row>
    <row r="83" spans="2:30" ht="18.75" x14ac:dyDescent="0.3">
      <c r="B83" s="394" t="s">
        <v>877</v>
      </c>
      <c r="C83" s="14"/>
      <c r="D83" s="14"/>
      <c r="E83" s="14"/>
      <c r="F83" s="14"/>
      <c r="G83" s="15"/>
      <c r="H83" s="373"/>
      <c r="I83" s="179" t="str">
        <f t="shared" si="10"/>
        <v/>
      </c>
      <c r="J83" s="177"/>
      <c r="K83" s="181" t="str">
        <f t="shared" si="11"/>
        <v/>
      </c>
      <c r="L83" s="18"/>
      <c r="AA83" s="437" t="s">
        <v>878</v>
      </c>
      <c r="AB83" s="437"/>
      <c r="AC83" s="437"/>
      <c r="AD83" s="437">
        <v>123</v>
      </c>
    </row>
    <row r="84" spans="2:30" ht="18.75" x14ac:dyDescent="0.3">
      <c r="B84" s="394" t="s">
        <v>882</v>
      </c>
      <c r="C84" s="14"/>
      <c r="D84" s="14"/>
      <c r="E84" s="14"/>
      <c r="F84" s="14"/>
      <c r="G84" s="15"/>
      <c r="H84" s="373"/>
      <c r="I84" s="179" t="str">
        <f t="shared" si="10"/>
        <v/>
      </c>
      <c r="J84" s="177"/>
      <c r="K84" s="181" t="str">
        <f t="shared" si="11"/>
        <v/>
      </c>
      <c r="L84" s="18"/>
      <c r="AA84" s="437" t="s">
        <v>883</v>
      </c>
      <c r="AB84" s="437"/>
      <c r="AC84" s="437"/>
      <c r="AD84" s="437">
        <v>122</v>
      </c>
    </row>
    <row r="85" spans="2:30" ht="18.75" x14ac:dyDescent="0.3">
      <c r="B85" s="394" t="s">
        <v>884</v>
      </c>
      <c r="C85" s="14"/>
      <c r="D85" s="14"/>
      <c r="E85" s="14"/>
      <c r="F85" s="14"/>
      <c r="G85" s="15"/>
      <c r="H85" s="373"/>
      <c r="I85" s="179" t="str">
        <f t="shared" si="10"/>
        <v/>
      </c>
      <c r="J85" s="177"/>
      <c r="K85" s="181" t="str">
        <f t="shared" si="11"/>
        <v/>
      </c>
      <c r="L85" s="18"/>
      <c r="AA85" s="437" t="s">
        <v>885</v>
      </c>
      <c r="AB85" s="437"/>
      <c r="AC85" s="437"/>
      <c r="AD85" s="437">
        <v>124</v>
      </c>
    </row>
    <row r="86" spans="2:30" ht="18.75" x14ac:dyDescent="0.3">
      <c r="B86" s="394" t="s">
        <v>1087</v>
      </c>
      <c r="C86" s="14"/>
      <c r="D86" s="14"/>
      <c r="E86" s="14"/>
      <c r="F86" s="14"/>
      <c r="G86" s="15"/>
      <c r="H86" s="373"/>
      <c r="I86" s="179" t="str">
        <f t="shared" si="10"/>
        <v/>
      </c>
      <c r="J86" s="177"/>
      <c r="K86" s="181" t="str">
        <f t="shared" si="11"/>
        <v/>
      </c>
      <c r="L86" s="18"/>
      <c r="AA86" s="437" t="s">
        <v>879</v>
      </c>
      <c r="AB86" s="437"/>
      <c r="AC86" s="437"/>
      <c r="AD86" s="437">
        <v>131</v>
      </c>
    </row>
    <row r="87" spans="2:30" ht="18.75" x14ac:dyDescent="0.3">
      <c r="B87" s="394" t="s">
        <v>880</v>
      </c>
      <c r="C87" s="14"/>
      <c r="D87" s="14"/>
      <c r="E87" s="14"/>
      <c r="F87" s="14"/>
      <c r="G87" s="15"/>
      <c r="H87" s="373"/>
      <c r="I87" s="179" t="str">
        <f t="shared" si="10"/>
        <v/>
      </c>
      <c r="J87" s="177"/>
      <c r="K87" s="181" t="str">
        <f t="shared" si="11"/>
        <v/>
      </c>
      <c r="L87" s="18"/>
      <c r="AA87" s="437" t="s">
        <v>881</v>
      </c>
      <c r="AB87" s="437"/>
      <c r="AC87" s="437"/>
      <c r="AD87" s="437">
        <v>136</v>
      </c>
    </row>
    <row r="88" spans="2:30" ht="18.75" x14ac:dyDescent="0.3">
      <c r="B88" s="394" t="s">
        <v>886</v>
      </c>
      <c r="C88" s="14"/>
      <c r="D88" s="14"/>
      <c r="E88" s="14"/>
      <c r="F88" s="14"/>
      <c r="G88" s="15"/>
      <c r="H88" s="373"/>
      <c r="I88" s="179" t="str">
        <f t="shared" si="10"/>
        <v/>
      </c>
      <c r="J88" s="177"/>
      <c r="K88" s="181" t="str">
        <f t="shared" si="11"/>
        <v/>
      </c>
      <c r="L88" s="18"/>
      <c r="AA88" s="437" t="s">
        <v>887</v>
      </c>
      <c r="AB88" s="437"/>
      <c r="AC88" s="437"/>
      <c r="AD88" s="437">
        <v>135</v>
      </c>
    </row>
    <row r="89" spans="2:30" ht="19.5" thickBot="1" x14ac:dyDescent="0.35">
      <c r="B89" s="395" t="s">
        <v>888</v>
      </c>
      <c r="C89" s="175"/>
      <c r="D89" s="175"/>
      <c r="E89" s="175"/>
      <c r="F89" s="175"/>
      <c r="G89" s="176"/>
      <c r="H89" s="374"/>
      <c r="I89" s="174" t="str">
        <f t="shared" si="10"/>
        <v/>
      </c>
      <c r="J89" s="178"/>
      <c r="K89" s="215" t="str">
        <f t="shared" si="11"/>
        <v/>
      </c>
      <c r="L89" s="18"/>
      <c r="AA89" s="437" t="s">
        <v>889</v>
      </c>
      <c r="AB89" s="437"/>
      <c r="AC89" s="437"/>
      <c r="AD89" s="437">
        <v>145</v>
      </c>
    </row>
    <row r="90" spans="2:30" ht="15.75" thickTop="1" x14ac:dyDescent="0.25">
      <c r="B90" s="17"/>
      <c r="L90" s="18"/>
      <c r="AA90" s="437"/>
      <c r="AB90" s="437"/>
      <c r="AC90" s="437"/>
      <c r="AD90" s="437"/>
    </row>
    <row r="91" spans="2:30" ht="15.75" thickBot="1" x14ac:dyDescent="0.3">
      <c r="B91" s="392"/>
      <c r="C91" s="173"/>
      <c r="D91" s="173"/>
      <c r="E91" s="173"/>
      <c r="F91" s="173"/>
      <c r="G91" s="173"/>
      <c r="H91" s="173"/>
      <c r="I91" s="173"/>
      <c r="J91" s="173"/>
      <c r="K91" s="173"/>
      <c r="L91" s="18"/>
      <c r="AA91" s="437"/>
      <c r="AB91" s="437"/>
      <c r="AC91" s="437"/>
      <c r="AD91" s="437"/>
    </row>
    <row r="92" spans="2:30" ht="22.5" thickTop="1" thickBot="1" x14ac:dyDescent="0.4">
      <c r="B92" s="186" t="s">
        <v>870</v>
      </c>
      <c r="C92" s="186"/>
      <c r="D92" s="186"/>
      <c r="E92" s="186"/>
      <c r="F92" s="186"/>
      <c r="G92" s="186"/>
      <c r="H92" s="186"/>
      <c r="I92" s="187"/>
      <c r="J92" s="188" t="s">
        <v>754</v>
      </c>
      <c r="K92" s="189"/>
      <c r="L92" s="18"/>
      <c r="AA92" s="437"/>
      <c r="AB92" s="437"/>
      <c r="AC92" s="437"/>
      <c r="AD92" s="437"/>
    </row>
    <row r="93" spans="2:30" ht="20.25" thickTop="1" thickBot="1" x14ac:dyDescent="0.3">
      <c r="B93" s="520" t="s">
        <v>764</v>
      </c>
      <c r="C93" s="521"/>
      <c r="D93" s="521"/>
      <c r="E93" s="521"/>
      <c r="F93" s="521"/>
      <c r="G93" s="522"/>
      <c r="H93" s="371" t="s">
        <v>63</v>
      </c>
      <c r="I93" s="184" t="s">
        <v>123</v>
      </c>
      <c r="J93" s="185" t="s">
        <v>755</v>
      </c>
      <c r="K93" s="184" t="str" cm="1">
        <f t="array" ref="K93">IF(OR(LEN(J94:J103)&gt;0),"Hint: Ordet starter med:","")</f>
        <v/>
      </c>
      <c r="L93" s="18"/>
      <c r="AA93" s="437"/>
      <c r="AB93" s="437"/>
      <c r="AC93" s="437"/>
      <c r="AD93" s="437"/>
    </row>
    <row r="94" spans="2:30" ht="19.5" thickTop="1" x14ac:dyDescent="0.3">
      <c r="B94" s="393" t="s">
        <v>893</v>
      </c>
      <c r="C94" s="182"/>
      <c r="D94" s="182"/>
      <c r="E94" s="182"/>
      <c r="F94" s="182"/>
      <c r="G94" s="183"/>
      <c r="H94" s="372"/>
      <c r="I94" s="179" t="str">
        <f t="shared" ref="I94:I100" si="12">IF(H94="","",IF(OR(LEFT(H94,LEN(AA94))=AA94, IF(AB94&lt;&gt;"",H94=AB94,H94="SNYD")),"Rigtig","Forkert"))</f>
        <v/>
      </c>
      <c r="J94" s="180"/>
      <c r="K94" s="181" t="str">
        <f t="shared" ref="K94:K103" si="13">IF(I94="Rigtig","Flot! Læs evt. mere på s. "&amp;AD94&amp;" i BasiskemiC",IF(LEN(J94)&lt;4,LEFT(AA94,LEN(J94)),"Slå ordet op i BasisKemiC på s. "&amp;AD94))</f>
        <v/>
      </c>
      <c r="L94" s="18"/>
      <c r="AA94" s="437" t="s">
        <v>894</v>
      </c>
      <c r="AB94" s="437"/>
      <c r="AC94" s="437"/>
      <c r="AD94" s="437">
        <v>153</v>
      </c>
    </row>
    <row r="95" spans="2:30" ht="18.75" x14ac:dyDescent="0.3">
      <c r="B95" s="394" t="s">
        <v>892</v>
      </c>
      <c r="C95" s="14"/>
      <c r="D95" s="14"/>
      <c r="E95" s="14"/>
      <c r="F95" s="14"/>
      <c r="G95" s="15"/>
      <c r="H95" s="373"/>
      <c r="I95" s="179" t="str">
        <f t="shared" si="12"/>
        <v/>
      </c>
      <c r="J95" s="177"/>
      <c r="K95" s="181" t="str">
        <f t="shared" si="13"/>
        <v/>
      </c>
      <c r="L95" s="18"/>
      <c r="AA95" s="437" t="s">
        <v>614</v>
      </c>
      <c r="AB95" s="437" t="s">
        <v>615</v>
      </c>
      <c r="AC95" s="437"/>
      <c r="AD95" s="437">
        <v>153</v>
      </c>
    </row>
    <row r="96" spans="2:30" ht="18.75" x14ac:dyDescent="0.3">
      <c r="B96" s="394" t="s">
        <v>896</v>
      </c>
      <c r="C96" s="14"/>
      <c r="D96" s="14"/>
      <c r="E96" s="14"/>
      <c r="F96" s="14"/>
      <c r="G96" s="15"/>
      <c r="H96" s="373"/>
      <c r="I96" s="179" t="str">
        <f t="shared" si="12"/>
        <v/>
      </c>
      <c r="J96" s="177"/>
      <c r="K96" s="181" t="str">
        <f t="shared" si="13"/>
        <v/>
      </c>
      <c r="L96" s="18"/>
      <c r="AA96" s="437" t="s">
        <v>895</v>
      </c>
      <c r="AB96" s="437"/>
      <c r="AC96" s="437"/>
      <c r="AD96" s="437">
        <v>154</v>
      </c>
    </row>
    <row r="97" spans="2:30" ht="18.75" x14ac:dyDescent="0.3">
      <c r="B97" s="394" t="s">
        <v>905</v>
      </c>
      <c r="C97" s="14"/>
      <c r="D97" s="14"/>
      <c r="E97" s="14"/>
      <c r="F97" s="14"/>
      <c r="G97" s="15"/>
      <c r="H97" s="373"/>
      <c r="I97" s="179" t="str">
        <f t="shared" si="12"/>
        <v/>
      </c>
      <c r="J97" s="177"/>
      <c r="K97" s="181" t="str">
        <f t="shared" si="13"/>
        <v/>
      </c>
      <c r="L97" s="18"/>
      <c r="AA97" s="437" t="s">
        <v>898</v>
      </c>
      <c r="AB97" s="437"/>
      <c r="AC97" s="437"/>
      <c r="AD97" s="437">
        <v>156</v>
      </c>
    </row>
    <row r="98" spans="2:30" ht="18.75" x14ac:dyDescent="0.3">
      <c r="B98" s="394" t="s">
        <v>897</v>
      </c>
      <c r="C98" s="14"/>
      <c r="D98" s="14"/>
      <c r="E98" s="14"/>
      <c r="F98" s="14"/>
      <c r="G98" s="15"/>
      <c r="H98" s="373"/>
      <c r="I98" s="179" t="str">
        <f t="shared" si="12"/>
        <v/>
      </c>
      <c r="J98" s="177"/>
      <c r="K98" s="181" t="str">
        <f t="shared" si="13"/>
        <v/>
      </c>
      <c r="L98" s="18"/>
      <c r="AA98" s="437" t="s">
        <v>612</v>
      </c>
      <c r="AB98" s="437"/>
      <c r="AC98" s="437"/>
      <c r="AD98" s="437">
        <v>156</v>
      </c>
    </row>
    <row r="99" spans="2:30" ht="18.75" x14ac:dyDescent="0.3">
      <c r="B99" s="394" t="s">
        <v>899</v>
      </c>
      <c r="C99" s="14"/>
      <c r="D99" s="14"/>
      <c r="E99" s="14"/>
      <c r="F99" s="14"/>
      <c r="G99" s="15"/>
      <c r="H99" s="373"/>
      <c r="I99" s="179" t="str">
        <f t="shared" si="12"/>
        <v/>
      </c>
      <c r="J99" s="177"/>
      <c r="K99" s="181" t="str">
        <f t="shared" si="13"/>
        <v/>
      </c>
      <c r="L99" s="18"/>
      <c r="AA99" s="437" t="s">
        <v>900</v>
      </c>
      <c r="AB99" s="437"/>
      <c r="AC99" s="437"/>
      <c r="AD99" s="437">
        <v>163</v>
      </c>
    </row>
    <row r="100" spans="2:30" ht="18.75" x14ac:dyDescent="0.3">
      <c r="B100" s="394" t="s">
        <v>906</v>
      </c>
      <c r="C100" s="14"/>
      <c r="D100" s="14"/>
      <c r="E100" s="14"/>
      <c r="F100" s="14"/>
      <c r="G100" s="15"/>
      <c r="H100" s="373"/>
      <c r="I100" s="179" t="str">
        <f t="shared" si="12"/>
        <v/>
      </c>
      <c r="J100" s="177"/>
      <c r="K100" s="181" t="str">
        <f t="shared" si="13"/>
        <v/>
      </c>
      <c r="L100" s="18"/>
      <c r="AA100" s="437" t="s">
        <v>901</v>
      </c>
      <c r="AB100" s="437" t="s">
        <v>904</v>
      </c>
      <c r="AC100" s="437" t="s">
        <v>1100</v>
      </c>
      <c r="AD100" s="437">
        <v>162</v>
      </c>
    </row>
    <row r="101" spans="2:30" ht="18.75" x14ac:dyDescent="0.3">
      <c r="B101" s="394" t="s">
        <v>1088</v>
      </c>
      <c r="C101" s="14"/>
      <c r="D101" s="14"/>
      <c r="E101" s="14"/>
      <c r="F101" s="14"/>
      <c r="G101" s="15"/>
      <c r="H101" s="373"/>
      <c r="I101" s="179" t="str">
        <f>IF(H101="","",IF(OR(LEFT(H101,LEN(AA101))=AA101, IF(AB101&lt;&gt;"",H101=AB101,H101="SNYD")),"Rigtig","Forkert"))</f>
        <v/>
      </c>
      <c r="J101" s="177"/>
      <c r="K101" s="181" t="str">
        <f t="shared" si="13"/>
        <v/>
      </c>
      <c r="L101" s="18"/>
      <c r="AA101" s="437" t="s">
        <v>676</v>
      </c>
      <c r="AB101" s="437"/>
      <c r="AC101" s="437"/>
      <c r="AD101" s="437">
        <v>164</v>
      </c>
    </row>
    <row r="102" spans="2:30" ht="18.75" x14ac:dyDescent="0.3">
      <c r="B102" s="394" t="s">
        <v>902</v>
      </c>
      <c r="C102" s="14"/>
      <c r="D102" s="14"/>
      <c r="E102" s="14"/>
      <c r="F102" s="14"/>
      <c r="G102" s="15"/>
      <c r="H102" s="373"/>
      <c r="I102" s="179" t="str">
        <f>IF(H102="","",IF(OR(LEFT(H102,LEN(AA102))=AA102, IF(#REF!&lt;&gt;"",H102=#REF!,H102="SNYD")),"Rigtig","Forkert"))</f>
        <v/>
      </c>
      <c r="J102" s="177"/>
      <c r="K102" s="181" t="str">
        <f t="shared" si="13"/>
        <v/>
      </c>
      <c r="L102" s="18"/>
      <c r="AA102" s="437" t="s">
        <v>903</v>
      </c>
      <c r="AB102" s="437"/>
      <c r="AC102" s="437"/>
      <c r="AD102" s="437">
        <v>164</v>
      </c>
    </row>
    <row r="103" spans="2:30" ht="19.5" thickBot="1" x14ac:dyDescent="0.35">
      <c r="B103" s="395" t="s">
        <v>1089</v>
      </c>
      <c r="C103" s="175"/>
      <c r="D103" s="175"/>
      <c r="E103" s="175"/>
      <c r="F103" s="175"/>
      <c r="G103" s="176"/>
      <c r="H103" s="374"/>
      <c r="I103" s="174" t="str">
        <f>IF(H103="","",IF(OR(LEFT(H103,LEN(AA103))=AA103, IF(AB102&lt;&gt;"",H103=AB102,H103="SNYD")),"Rigtig","Forkert"))</f>
        <v/>
      </c>
      <c r="J103" s="178"/>
      <c r="K103" s="215" t="str">
        <f t="shared" si="13"/>
        <v/>
      </c>
      <c r="L103" s="18"/>
      <c r="AA103" s="437" t="s">
        <v>907</v>
      </c>
      <c r="AB103" s="437"/>
      <c r="AC103" s="437"/>
      <c r="AD103" s="437">
        <v>168</v>
      </c>
    </row>
    <row r="104" spans="2:30" ht="15.75" thickTop="1" x14ac:dyDescent="0.25">
      <c r="B104" s="17"/>
      <c r="L104" s="18"/>
      <c r="AA104" s="437"/>
      <c r="AB104" s="437"/>
      <c r="AC104" s="437"/>
      <c r="AD104" s="437"/>
    </row>
    <row r="105" spans="2:30" ht="15.75" thickBot="1" x14ac:dyDescent="0.3">
      <c r="B105" s="392"/>
      <c r="C105" s="173"/>
      <c r="D105" s="173"/>
      <c r="E105" s="173"/>
      <c r="F105" s="173"/>
      <c r="G105" s="173"/>
      <c r="H105" s="173"/>
      <c r="I105" s="173"/>
      <c r="J105" s="173"/>
      <c r="K105" s="173"/>
      <c r="L105" s="18"/>
      <c r="AA105" s="437"/>
      <c r="AB105" s="437"/>
      <c r="AC105" s="437"/>
      <c r="AD105" s="437"/>
    </row>
    <row r="106" spans="2:30" ht="22.5" thickTop="1" thickBot="1" x14ac:dyDescent="0.4">
      <c r="B106" s="186" t="s">
        <v>871</v>
      </c>
      <c r="C106" s="186"/>
      <c r="D106" s="186"/>
      <c r="E106" s="186"/>
      <c r="F106" s="186"/>
      <c r="G106" s="186"/>
      <c r="H106" s="186"/>
      <c r="I106" s="187"/>
      <c r="J106" s="188" t="s">
        <v>754</v>
      </c>
      <c r="K106" s="189"/>
      <c r="L106" s="18"/>
      <c r="AA106" s="437"/>
      <c r="AB106" s="437"/>
      <c r="AC106" s="437"/>
      <c r="AD106" s="437"/>
    </row>
    <row r="107" spans="2:30" ht="20.25" thickTop="1" thickBot="1" x14ac:dyDescent="0.3">
      <c r="B107" s="520" t="s">
        <v>764</v>
      </c>
      <c r="C107" s="521"/>
      <c r="D107" s="521"/>
      <c r="E107" s="521"/>
      <c r="F107" s="521"/>
      <c r="G107" s="522"/>
      <c r="H107" s="371" t="s">
        <v>63</v>
      </c>
      <c r="I107" s="184" t="s">
        <v>123</v>
      </c>
      <c r="J107" s="185" t="s">
        <v>755</v>
      </c>
      <c r="K107" s="184" t="str" cm="1">
        <f t="array" ref="K107">IF(OR(LEN(J108:J117)&gt;0),"Hint: Ordet starter med:","")</f>
        <v/>
      </c>
      <c r="L107" s="18"/>
      <c r="AA107" s="437"/>
      <c r="AB107" s="437"/>
      <c r="AC107" s="437"/>
      <c r="AD107" s="437"/>
    </row>
    <row r="108" spans="2:30" ht="19.5" thickTop="1" x14ac:dyDescent="0.3">
      <c r="B108" s="393" t="s">
        <v>920</v>
      </c>
      <c r="C108" s="182"/>
      <c r="D108" s="182"/>
      <c r="E108" s="182"/>
      <c r="F108" s="182"/>
      <c r="G108" s="183"/>
      <c r="H108" s="372"/>
      <c r="I108" s="179" t="str">
        <f t="shared" ref="I108:I117" si="14">IF(H108="","",IF(OR(LEFT(H108,LEN(AA108))=AA108, IF(AB108&lt;&gt;"",H108=AB108,H108="SNYD")),"Rigtig","Forkert"))</f>
        <v/>
      </c>
      <c r="J108" s="180"/>
      <c r="K108" s="181" t="str">
        <f t="shared" ref="K108:K117" si="15">IF(I108="Rigtig","Flot! Læs evt. mere på s. "&amp;AD108&amp;" i BasiskemiC",IF(LEN(J108)&lt;4,LEFT(AA108,LEN(J108)),"Slå ordet op i BasisKemiC på s. "&amp;AD108))</f>
        <v/>
      </c>
      <c r="L108" s="18"/>
      <c r="AA108" s="437" t="s">
        <v>911</v>
      </c>
      <c r="AB108" s="437"/>
      <c r="AC108" s="437"/>
      <c r="AD108" s="437">
        <v>174</v>
      </c>
    </row>
    <row r="109" spans="2:30" ht="18.75" x14ac:dyDescent="0.3">
      <c r="B109" s="394" t="s">
        <v>919</v>
      </c>
      <c r="C109" s="14"/>
      <c r="D109" s="14"/>
      <c r="E109" s="14"/>
      <c r="F109" s="14"/>
      <c r="G109" s="15"/>
      <c r="H109" s="373"/>
      <c r="I109" s="179" t="str">
        <f t="shared" si="14"/>
        <v/>
      </c>
      <c r="J109" s="177"/>
      <c r="K109" s="181" t="str">
        <f t="shared" si="15"/>
        <v/>
      </c>
      <c r="L109" s="18"/>
      <c r="AA109" s="437" t="s">
        <v>912</v>
      </c>
      <c r="AB109" s="437"/>
      <c r="AC109" s="437"/>
      <c r="AD109" s="437">
        <v>174</v>
      </c>
    </row>
    <row r="110" spans="2:30" ht="18.75" x14ac:dyDescent="0.3">
      <c r="B110" s="394" t="s">
        <v>1090</v>
      </c>
      <c r="C110" s="14"/>
      <c r="D110" s="14"/>
      <c r="E110" s="14"/>
      <c r="F110" s="14"/>
      <c r="G110" s="15"/>
      <c r="H110" s="373"/>
      <c r="I110" s="179" t="str">
        <f t="shared" si="14"/>
        <v/>
      </c>
      <c r="J110" s="177"/>
      <c r="K110" s="181" t="str">
        <f t="shared" si="15"/>
        <v/>
      </c>
      <c r="L110" s="18"/>
      <c r="AA110" s="437" t="s">
        <v>913</v>
      </c>
      <c r="AB110" s="437"/>
      <c r="AC110" s="437"/>
      <c r="AD110" s="437">
        <v>174</v>
      </c>
    </row>
    <row r="111" spans="2:30" ht="18.75" x14ac:dyDescent="0.3">
      <c r="B111" s="394" t="s">
        <v>909</v>
      </c>
      <c r="C111" s="14"/>
      <c r="D111" s="14"/>
      <c r="E111" s="14"/>
      <c r="F111" s="14"/>
      <c r="G111" s="15"/>
      <c r="H111" s="373"/>
      <c r="I111" s="179" t="str">
        <f t="shared" si="14"/>
        <v/>
      </c>
      <c r="J111" s="177"/>
      <c r="K111" s="181" t="str">
        <f t="shared" si="15"/>
        <v/>
      </c>
      <c r="L111" s="18"/>
      <c r="AA111" s="437" t="s">
        <v>914</v>
      </c>
      <c r="AB111" s="437"/>
      <c r="AC111" s="437"/>
      <c r="AD111" s="437">
        <v>178</v>
      </c>
    </row>
    <row r="112" spans="2:30" ht="18.75" x14ac:dyDescent="0.3">
      <c r="B112" s="394" t="s">
        <v>910</v>
      </c>
      <c r="C112" s="14"/>
      <c r="D112" s="14"/>
      <c r="E112" s="14"/>
      <c r="F112" s="14"/>
      <c r="G112" s="15"/>
      <c r="H112" s="373"/>
      <c r="I112" s="179" t="str">
        <f t="shared" si="14"/>
        <v/>
      </c>
      <c r="J112" s="177"/>
      <c r="K112" s="181" t="str">
        <f t="shared" si="15"/>
        <v/>
      </c>
      <c r="L112" s="18"/>
      <c r="AA112" s="437" t="s">
        <v>915</v>
      </c>
      <c r="AB112" s="437"/>
      <c r="AC112" s="437"/>
      <c r="AD112" s="437">
        <v>175</v>
      </c>
    </row>
    <row r="113" spans="2:30" ht="18.75" x14ac:dyDescent="0.3">
      <c r="B113" s="394" t="s">
        <v>1091</v>
      </c>
      <c r="C113" s="14"/>
      <c r="D113" s="14"/>
      <c r="E113" s="14"/>
      <c r="F113" s="14"/>
      <c r="G113" s="15"/>
      <c r="H113" s="373"/>
      <c r="I113" s="179" t="str">
        <f t="shared" si="14"/>
        <v/>
      </c>
      <c r="J113" s="177"/>
      <c r="K113" s="181" t="str">
        <f t="shared" si="15"/>
        <v/>
      </c>
      <c r="L113" s="18"/>
      <c r="AA113" s="437" t="s">
        <v>916</v>
      </c>
      <c r="AB113" s="437"/>
      <c r="AC113" s="437"/>
      <c r="AD113" s="437">
        <v>177</v>
      </c>
    </row>
    <row r="114" spans="2:30" ht="18.75" x14ac:dyDescent="0.3">
      <c r="B114" s="394" t="s">
        <v>927</v>
      </c>
      <c r="C114" s="14"/>
      <c r="D114" s="14"/>
      <c r="E114" s="14"/>
      <c r="F114" s="14"/>
      <c r="G114" s="15"/>
      <c r="H114" s="373"/>
      <c r="I114" s="179" t="str">
        <f t="shared" si="14"/>
        <v/>
      </c>
      <c r="J114" s="177"/>
      <c r="K114" s="181" t="str">
        <f t="shared" si="15"/>
        <v/>
      </c>
      <c r="L114" s="18"/>
      <c r="AA114" s="437" t="s">
        <v>201</v>
      </c>
      <c r="AB114" s="437" t="s">
        <v>918</v>
      </c>
      <c r="AC114" s="437"/>
      <c r="AD114" s="437">
        <v>179</v>
      </c>
    </row>
    <row r="115" spans="2:30" ht="18.75" x14ac:dyDescent="0.3">
      <c r="B115" s="394" t="s">
        <v>1092</v>
      </c>
      <c r="C115" s="14"/>
      <c r="D115" s="14"/>
      <c r="E115" s="14"/>
      <c r="F115" s="14"/>
      <c r="G115" s="15"/>
      <c r="H115" s="373"/>
      <c r="I115" s="179" t="str">
        <f t="shared" si="14"/>
        <v/>
      </c>
      <c r="J115" s="177"/>
      <c r="K115" s="181" t="str">
        <f t="shared" si="15"/>
        <v/>
      </c>
      <c r="L115" s="18"/>
      <c r="AA115" s="437" t="s">
        <v>917</v>
      </c>
      <c r="AB115" s="437"/>
      <c r="AC115" s="437"/>
      <c r="AD115" s="437">
        <v>185</v>
      </c>
    </row>
    <row r="116" spans="2:30" ht="18.75" x14ac:dyDescent="0.3">
      <c r="B116" s="394" t="s">
        <v>921</v>
      </c>
      <c r="C116" s="14"/>
      <c r="D116" s="14"/>
      <c r="E116" s="14"/>
      <c r="F116" s="14"/>
      <c r="G116" s="15"/>
      <c r="H116" s="373"/>
      <c r="I116" s="179" t="str">
        <f t="shared" si="14"/>
        <v/>
      </c>
      <c r="J116" s="177"/>
      <c r="K116" s="181" t="str">
        <f t="shared" si="15"/>
        <v/>
      </c>
      <c r="L116" s="18"/>
      <c r="AA116" s="437" t="s">
        <v>922</v>
      </c>
      <c r="AB116" s="437" t="s">
        <v>923</v>
      </c>
      <c r="AC116" s="437"/>
      <c r="AD116" s="437" t="s">
        <v>924</v>
      </c>
    </row>
    <row r="117" spans="2:30" ht="19.5" thickBot="1" x14ac:dyDescent="0.35">
      <c r="B117" s="395" t="s">
        <v>926</v>
      </c>
      <c r="C117" s="175"/>
      <c r="D117" s="175"/>
      <c r="E117" s="175"/>
      <c r="F117" s="175"/>
      <c r="G117" s="176"/>
      <c r="H117" s="374"/>
      <c r="I117" s="196" t="str">
        <f t="shared" si="14"/>
        <v/>
      </c>
      <c r="J117" s="178"/>
      <c r="K117" s="215" t="str">
        <f t="shared" si="15"/>
        <v/>
      </c>
      <c r="L117" s="18"/>
      <c r="AA117" s="437" t="s">
        <v>925</v>
      </c>
      <c r="AB117" s="437" t="s">
        <v>227</v>
      </c>
      <c r="AC117" s="437"/>
      <c r="AD117" s="437">
        <v>176</v>
      </c>
    </row>
    <row r="118" spans="2:30" ht="15.75" thickTop="1" x14ac:dyDescent="0.25">
      <c r="B118" s="17"/>
      <c r="I118" s="197"/>
      <c r="L118" s="18"/>
      <c r="AA118" s="437"/>
      <c r="AB118" s="437"/>
      <c r="AC118" s="437"/>
      <c r="AD118" s="437"/>
    </row>
    <row r="119" spans="2:30" x14ac:dyDescent="0.25">
      <c r="B119" s="17"/>
      <c r="L119" s="18"/>
      <c r="AA119" s="437"/>
      <c r="AB119" s="437"/>
      <c r="AC119" s="437"/>
      <c r="AD119" s="437"/>
    </row>
    <row r="120" spans="2:30" x14ac:dyDescent="0.25">
      <c r="B120" s="17" t="s">
        <v>869</v>
      </c>
      <c r="L120" s="18"/>
      <c r="AA120" s="437"/>
      <c r="AB120" s="437"/>
      <c r="AC120" s="437"/>
      <c r="AD120" s="437"/>
    </row>
    <row r="121" spans="2:30" x14ac:dyDescent="0.25">
      <c r="B121" s="17" t="s">
        <v>872</v>
      </c>
      <c r="L121" s="18"/>
      <c r="AA121" s="437"/>
      <c r="AB121" s="437"/>
      <c r="AC121" s="437"/>
      <c r="AD121" s="437"/>
    </row>
    <row r="122" spans="2:30" x14ac:dyDescent="0.25">
      <c r="B122" s="19" t="s">
        <v>1080</v>
      </c>
      <c r="C122" s="20"/>
      <c r="D122" s="20"/>
      <c r="E122" s="20"/>
      <c r="F122" s="20"/>
      <c r="G122" s="20"/>
      <c r="H122" s="20"/>
      <c r="I122" s="20"/>
      <c r="J122" s="20"/>
      <c r="K122" s="20"/>
      <c r="L122" s="21"/>
      <c r="AA122" s="437"/>
      <c r="AB122" s="437"/>
      <c r="AC122" s="437"/>
      <c r="AD122" s="437"/>
    </row>
  </sheetData>
  <sheetProtection algorithmName="SHA-512" hashValue="JGq0KyKUF/mSYOM4P5/S8ARt3jgb6dRzNI/NTh1lRB0KAAccu+kUGj9BVYiDP8FGS/zfNEjaNydBCLhwDaO6PQ==" saltValue="CKnVjvN1KbgWoH/CjAz7XA==" spinCount="100000" sheet="1" objects="1" scenarios="1" formatColumns="0" formatRows="0"/>
  <mergeCells count="8">
    <mergeCell ref="B37:G37"/>
    <mergeCell ref="B23:G23"/>
    <mergeCell ref="B9:G9"/>
    <mergeCell ref="B107:G107"/>
    <mergeCell ref="B79:G79"/>
    <mergeCell ref="B93:G93"/>
    <mergeCell ref="B51:G51"/>
    <mergeCell ref="B65:G65"/>
  </mergeCells>
  <conditionalFormatting sqref="B7:L7 B20:K20 L8:L20">
    <cfRule type="expression" dxfId="9" priority="22">
      <formula>AND($I$10:$I$19="Rigtig")</formula>
    </cfRule>
  </conditionalFormatting>
  <conditionalFormatting sqref="B21:L21 B34:K34 L22:L34">
    <cfRule type="expression" dxfId="8" priority="19">
      <formula>AND($I$24:$I$33="Rigtig")</formula>
    </cfRule>
  </conditionalFormatting>
  <conditionalFormatting sqref="B35:L35 B48:K48 L36:L48">
    <cfRule type="expression" dxfId="7" priority="16">
      <formula>AND($I$38:$I$47="Rigtig")</formula>
    </cfRule>
  </conditionalFormatting>
  <conditionalFormatting sqref="B49:L49 B62:K62 L50:L62">
    <cfRule type="expression" dxfId="6" priority="13">
      <formula>AND($I$52:$I$61="Rigtig")</formula>
    </cfRule>
  </conditionalFormatting>
  <conditionalFormatting sqref="B63:L63 B76:K76 L64:L76">
    <cfRule type="expression" dxfId="5" priority="10">
      <formula>AND($I$66:$I$75="Rigtig")</formula>
    </cfRule>
  </conditionalFormatting>
  <conditionalFormatting sqref="B77:L77 B90:K90 L78:L90">
    <cfRule type="expression" dxfId="4" priority="7">
      <formula>AND($I$80:$I$89="Rigtig")</formula>
    </cfRule>
  </conditionalFormatting>
  <conditionalFormatting sqref="B91:L91 B104:K104 L92:L104">
    <cfRule type="expression" dxfId="3" priority="4">
      <formula>AND($I$94:$I$103="Rigtig")</formula>
    </cfRule>
  </conditionalFormatting>
  <conditionalFormatting sqref="B105:L105 L106:L118 B118:K118">
    <cfRule type="expression" dxfId="2" priority="1">
      <formula>AND($I$108:$I$117="Rigtig")</formula>
    </cfRule>
  </conditionalFormatting>
  <conditionalFormatting sqref="I1:I1048576">
    <cfRule type="containsText" dxfId="1" priority="3" operator="containsText" text="Forkert">
      <formula>NOT(ISERROR(SEARCH("Forkert",I1)))</formula>
    </cfRule>
    <cfRule type="containsText" dxfId="0" priority="5" operator="containsText" text="Rigtig">
      <formula>NOT(ISERROR(SEARCH("Rigtig",I1)))</formula>
    </cfRule>
  </conditionalFormatting>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0545A-2739-471B-916B-7EABE204AE01}">
  <sheetPr codeName="Sheet2">
    <tabColor theme="9" tint="0.39997558519241921"/>
  </sheetPr>
  <dimension ref="B1:AG25"/>
  <sheetViews>
    <sheetView showGridLines="0" zoomScale="145" zoomScaleNormal="145" workbookViewId="0"/>
  </sheetViews>
  <sheetFormatPr defaultRowHeight="15" x14ac:dyDescent="0.25"/>
  <cols>
    <col min="2" max="2" width="28.42578125" customWidth="1"/>
    <col min="3" max="3" width="13" customWidth="1"/>
    <col min="4" max="4" width="10.140625" customWidth="1"/>
    <col min="5" max="5" width="11" customWidth="1"/>
    <col min="6" max="6" width="12" customWidth="1"/>
    <col min="7" max="7" width="14.28515625" customWidth="1"/>
    <col min="9" max="9" width="11.5703125" customWidth="1"/>
    <col min="10" max="10" width="12.42578125" customWidth="1"/>
    <col min="11" max="11" width="9.85546875" customWidth="1"/>
    <col min="12" max="12" width="11.5703125" customWidth="1"/>
    <col min="13" max="13" width="9.140625" customWidth="1"/>
    <col min="14" max="14" width="16.140625" style="11" customWidth="1"/>
    <col min="15" max="25" width="9.140625" style="11"/>
  </cols>
  <sheetData>
    <row r="1" spans="2:33" x14ac:dyDescent="0.25">
      <c r="AA1" s="437"/>
      <c r="AB1" s="437"/>
      <c r="AC1" s="437"/>
      <c r="AD1" s="437"/>
      <c r="AE1" s="437"/>
      <c r="AF1" s="437"/>
      <c r="AG1" s="437"/>
    </row>
    <row r="2" spans="2:33" ht="37.5" customHeight="1" thickBot="1" x14ac:dyDescent="0.55000000000000004">
      <c r="B2" s="472" t="s">
        <v>702</v>
      </c>
      <c r="C2" s="473"/>
      <c r="D2" s="473"/>
      <c r="E2" s="473"/>
      <c r="F2" s="473"/>
      <c r="G2" s="473"/>
      <c r="H2" s="473"/>
      <c r="I2" s="473"/>
      <c r="J2" s="473"/>
      <c r="K2" s="473"/>
      <c r="L2" s="473"/>
      <c r="M2" s="473"/>
      <c r="N2" s="473"/>
      <c r="AA2" s="437"/>
      <c r="AB2" s="437"/>
      <c r="AC2" s="437"/>
      <c r="AD2" s="437"/>
      <c r="AE2" s="437"/>
      <c r="AF2" s="437"/>
      <c r="AG2" s="437"/>
    </row>
    <row r="3" spans="2:33" ht="37.5" customHeight="1" x14ac:dyDescent="0.25">
      <c r="B3" s="381" t="s">
        <v>1019</v>
      </c>
      <c r="D3" t="s">
        <v>1020</v>
      </c>
      <c r="N3" s="365"/>
      <c r="AA3" s="437"/>
      <c r="AB3" s="437"/>
      <c r="AC3" s="437"/>
      <c r="AD3" s="437"/>
      <c r="AE3" s="437"/>
      <c r="AF3" s="437"/>
      <c r="AG3" s="437"/>
    </row>
    <row r="4" spans="2:33" ht="22.5" customHeight="1" x14ac:dyDescent="0.55000000000000004">
      <c r="B4" s="22"/>
      <c r="C4" s="10"/>
      <c r="N4" s="23"/>
      <c r="AA4" s="437"/>
      <c r="AB4" s="437"/>
      <c r="AC4" s="437"/>
      <c r="AD4" s="437"/>
      <c r="AE4" s="437"/>
      <c r="AF4" s="437"/>
      <c r="AG4" s="437"/>
    </row>
    <row r="5" spans="2:33" x14ac:dyDescent="0.25">
      <c r="B5" s="17"/>
      <c r="L5" s="11"/>
      <c r="M5" s="11"/>
      <c r="N5" s="23"/>
      <c r="AA5" s="437"/>
      <c r="AB5" s="437"/>
      <c r="AC5" s="437"/>
      <c r="AD5" s="437"/>
      <c r="AE5" s="437"/>
      <c r="AF5" s="437"/>
      <c r="AG5" s="437"/>
    </row>
    <row r="6" spans="2:33" ht="27" thickBot="1" x14ac:dyDescent="0.45">
      <c r="B6" s="294" t="s">
        <v>1017</v>
      </c>
      <c r="C6" s="295"/>
      <c r="D6" s="295"/>
      <c r="E6" s="295"/>
      <c r="F6" s="295"/>
      <c r="G6" s="295"/>
      <c r="H6" s="295"/>
      <c r="I6" s="295"/>
      <c r="J6" s="296"/>
      <c r="L6" s="11"/>
      <c r="M6" s="11"/>
      <c r="N6" s="23"/>
      <c r="AA6" s="437"/>
      <c r="AB6" s="437"/>
      <c r="AC6" s="437"/>
      <c r="AD6" s="437"/>
      <c r="AE6" s="437"/>
      <c r="AF6" s="437"/>
      <c r="AG6" s="437"/>
    </row>
    <row r="7" spans="2:33" ht="18.75" x14ac:dyDescent="0.3">
      <c r="B7" s="297" t="s">
        <v>52</v>
      </c>
      <c r="C7" s="298" t="s">
        <v>55</v>
      </c>
      <c r="D7" s="280" t="s">
        <v>123</v>
      </c>
      <c r="F7" s="298" t="s">
        <v>107</v>
      </c>
      <c r="G7" s="280" t="s">
        <v>123</v>
      </c>
      <c r="I7" s="298" t="s">
        <v>59</v>
      </c>
      <c r="J7" s="280" t="s">
        <v>123</v>
      </c>
      <c r="N7" s="23"/>
      <c r="AA7" s="437"/>
      <c r="AB7" s="437"/>
      <c r="AC7" s="437"/>
      <c r="AD7" s="437"/>
      <c r="AE7" s="437"/>
      <c r="AF7" s="437"/>
      <c r="AG7" s="437"/>
    </row>
    <row r="8" spans="2:33" ht="18.75" x14ac:dyDescent="0.3">
      <c r="B8" s="280" t="s">
        <v>53</v>
      </c>
      <c r="C8" s="12"/>
      <c r="D8" s="263" t="str">
        <f>IF(C8="","",IF(C8&lt;&gt;AA8,"Forkert","Rigtig"))</f>
        <v/>
      </c>
      <c r="F8" s="12"/>
      <c r="G8" s="263" t="str">
        <f>IF(F8="","",IF(F8&lt;&gt;AD8,"Forkert","Rigtig"))</f>
        <v/>
      </c>
      <c r="I8" s="12"/>
      <c r="J8" s="263" t="str">
        <f>IF(I8="","",IF(I8&lt;&gt;AG8,"Forkert","Rigtig"))</f>
        <v/>
      </c>
      <c r="N8" s="23"/>
      <c r="AA8" s="437">
        <v>11</v>
      </c>
      <c r="AB8" s="437"/>
      <c r="AC8" s="437"/>
      <c r="AD8" s="437">
        <v>16</v>
      </c>
      <c r="AE8" s="437"/>
      <c r="AF8" s="437"/>
      <c r="AG8" s="437">
        <v>6</v>
      </c>
    </row>
    <row r="9" spans="2:33" ht="18.75" x14ac:dyDescent="0.3">
      <c r="B9" s="280" t="s">
        <v>54</v>
      </c>
      <c r="C9" s="13"/>
      <c r="D9" s="263" t="str">
        <f>IF(C9="","",IF(C9&lt;&gt;AA9,"Forkert","Rigtig"))</f>
        <v/>
      </c>
      <c r="F9" s="12"/>
      <c r="G9" s="263" t="str">
        <f>IF(F9="","",IF(F9&lt;&gt;AD9,"Forkert","Rigtig"))</f>
        <v/>
      </c>
      <c r="I9" s="12"/>
      <c r="J9" s="263" t="str">
        <f>IF(I9="","",IF(I9&lt;&gt;AG9,"Forkert","Rigtig"))</f>
        <v/>
      </c>
      <c r="N9" s="23"/>
      <c r="AA9" s="437">
        <v>12</v>
      </c>
      <c r="AB9" s="437"/>
      <c r="AC9" s="437"/>
      <c r="AD9" s="437">
        <v>16</v>
      </c>
      <c r="AE9" s="437"/>
      <c r="AF9" s="437"/>
      <c r="AG9" s="437">
        <v>8</v>
      </c>
    </row>
    <row r="10" spans="2:33" ht="18.75" x14ac:dyDescent="0.3">
      <c r="B10" s="280" t="s">
        <v>56</v>
      </c>
      <c r="C10" s="13"/>
      <c r="D10" s="263" t="str">
        <f>IF(C10="","",IF(C10&lt;&gt;AA10,"Forkert","Rigtig"))</f>
        <v/>
      </c>
      <c r="F10" s="12"/>
      <c r="G10" s="263" t="str">
        <f>IF(F10="","",IF(F10&lt;&gt;AD10,"Forkert","Rigtig"))</f>
        <v/>
      </c>
      <c r="I10" s="12"/>
      <c r="J10" s="263" t="str">
        <f>IF(I10="","",IF(I10&lt;&gt;AG10,"Forkert","Rigtig"))</f>
        <v/>
      </c>
      <c r="N10" s="23"/>
      <c r="AA10" s="437">
        <v>11</v>
      </c>
      <c r="AB10" s="437"/>
      <c r="AC10" s="437"/>
      <c r="AD10" s="437">
        <v>16</v>
      </c>
      <c r="AE10" s="437"/>
      <c r="AF10" s="437"/>
      <c r="AG10" s="437">
        <v>6</v>
      </c>
    </row>
    <row r="11" spans="2:33" ht="18.75" x14ac:dyDescent="0.3">
      <c r="B11" s="280" t="s">
        <v>57</v>
      </c>
      <c r="C11" s="13"/>
      <c r="D11" s="263" t="str">
        <f>IF(C11="","",IF(C11&lt;&gt;AA11,"Forkert","Rigtig"))</f>
        <v/>
      </c>
      <c r="F11" s="12"/>
      <c r="G11" s="263" t="str">
        <f>IF(F11="","",IF(F11&lt;&gt;AD11,"Forkert","Rigtig"))</f>
        <v/>
      </c>
      <c r="I11" s="12"/>
      <c r="J11" s="263" t="str">
        <f>IF(I11="","",IF(I11&lt;&gt;AG11,"Forkert","Rigtig"))</f>
        <v/>
      </c>
      <c r="N11" s="23"/>
      <c r="AA11" s="437" t="s">
        <v>58</v>
      </c>
      <c r="AB11" s="437"/>
      <c r="AC11" s="437"/>
      <c r="AD11" s="437" t="s">
        <v>108</v>
      </c>
      <c r="AE11" s="437"/>
      <c r="AF11" s="437"/>
      <c r="AG11" s="437" t="s">
        <v>60</v>
      </c>
    </row>
    <row r="12" spans="2:33" ht="19.5" thickBot="1" x14ac:dyDescent="0.35">
      <c r="B12" s="299" t="s">
        <v>106</v>
      </c>
      <c r="C12" s="369"/>
      <c r="D12" s="300" t="str">
        <f>IF(C12="","",IF(OR(C12=AA12,MID(C12,2,LEN(AA12))=AA12),"Rigtig","forkert"))</f>
        <v/>
      </c>
      <c r="F12" s="30"/>
      <c r="G12" s="300" t="str">
        <f>IF(F12="","",IF(OR(F12=AD12,MID(F12,2,LEN(AD12))=AD12),"Rigtig","forkert"))</f>
        <v/>
      </c>
      <c r="I12" s="30"/>
      <c r="J12" s="300" t="str">
        <f>IF(I12="","",IF(OR(I12=AG12,MID(I12,2,LEN(AG12))=AG12),"Rigtig","forkert"))</f>
        <v/>
      </c>
      <c r="M12" s="11"/>
      <c r="N12" s="23"/>
      <c r="AA12" s="438" t="s">
        <v>112</v>
      </c>
      <c r="AB12" s="437"/>
      <c r="AC12" s="437"/>
      <c r="AD12" s="438" t="s">
        <v>111</v>
      </c>
      <c r="AE12" s="437"/>
      <c r="AF12" s="437"/>
      <c r="AG12" s="438" t="s">
        <v>1024</v>
      </c>
    </row>
    <row r="13" spans="2:33" x14ac:dyDescent="0.25">
      <c r="B13" s="17"/>
      <c r="N13" s="23"/>
      <c r="AA13" s="437"/>
      <c r="AB13" s="437"/>
      <c r="AC13" s="437"/>
      <c r="AD13" s="437"/>
      <c r="AE13" s="437"/>
      <c r="AF13" s="437"/>
      <c r="AG13" s="437"/>
    </row>
    <row r="14" spans="2:33" ht="18.75" x14ac:dyDescent="0.3">
      <c r="B14" s="263" t="s">
        <v>52</v>
      </c>
      <c r="C14" s="280" t="s">
        <v>109</v>
      </c>
      <c r="D14" s="280" t="s">
        <v>123</v>
      </c>
      <c r="F14" s="280" t="s">
        <v>61</v>
      </c>
      <c r="G14" s="280" t="s">
        <v>123</v>
      </c>
      <c r="I14" s="280" t="s">
        <v>114</v>
      </c>
      <c r="J14" s="280" t="s">
        <v>123</v>
      </c>
      <c r="N14" s="23"/>
      <c r="AA14" s="437"/>
      <c r="AB14" s="437"/>
      <c r="AC14" s="437"/>
      <c r="AD14" s="437"/>
      <c r="AE14" s="437"/>
      <c r="AF14" s="437"/>
      <c r="AG14" s="437"/>
    </row>
    <row r="15" spans="2:33" ht="18.75" x14ac:dyDescent="0.3">
      <c r="B15" s="280" t="s">
        <v>53</v>
      </c>
      <c r="C15" s="12"/>
      <c r="D15" s="263" t="str">
        <f>IF(C15="","",IF(C15&lt;&gt;AA15,"Forkert","Rigtig"))</f>
        <v/>
      </c>
      <c r="F15" s="12"/>
      <c r="G15" s="263" t="str">
        <f>IF(F15="","",IF(F15&lt;&gt;AD15,"Forkert","Rigtig"))</f>
        <v/>
      </c>
      <c r="I15" s="12"/>
      <c r="J15" s="263" t="str">
        <f>IF(I15="","",IF(I15&lt;&gt;AG15,"Forkert","Rigtig"))</f>
        <v/>
      </c>
      <c r="N15" s="23"/>
      <c r="AA15" s="437">
        <v>8</v>
      </c>
      <c r="AB15" s="437"/>
      <c r="AC15" s="437"/>
      <c r="AD15" s="437">
        <v>35</v>
      </c>
      <c r="AE15" s="437"/>
      <c r="AF15" s="437"/>
      <c r="AG15" s="437">
        <v>10</v>
      </c>
    </row>
    <row r="16" spans="2:33" ht="18.75" x14ac:dyDescent="0.3">
      <c r="B16" s="280" t="s">
        <v>54</v>
      </c>
      <c r="C16" s="12"/>
      <c r="D16" s="263" t="str">
        <f>IF(C16="","",IF(C16&lt;&gt;AA16,"Forkert","Rigtig"))</f>
        <v/>
      </c>
      <c r="F16" s="12"/>
      <c r="G16" s="263" t="str">
        <f>IF(F16="","",IF(F16&lt;&gt;AD16,"Forkert","Rigtig"))</f>
        <v/>
      </c>
      <c r="I16" s="12"/>
      <c r="J16" s="263" t="str">
        <f>IF(I16="","",IF(I16&lt;&gt;AG16,"Forkert","Rigtig"))</f>
        <v/>
      </c>
      <c r="N16" s="23"/>
      <c r="AA16" s="437">
        <v>10</v>
      </c>
      <c r="AB16" s="437"/>
      <c r="AC16" s="437"/>
      <c r="AD16" s="437">
        <v>44</v>
      </c>
      <c r="AE16" s="437"/>
      <c r="AF16" s="437"/>
      <c r="AG16" s="437">
        <v>11</v>
      </c>
    </row>
    <row r="17" spans="2:33" ht="18.75" x14ac:dyDescent="0.3">
      <c r="B17" s="280" t="s">
        <v>56</v>
      </c>
      <c r="C17" s="12"/>
      <c r="D17" s="263" t="str">
        <f>IF(C17="","",IF(C17&lt;&gt;AA17,"Forkert","Rigtig"))</f>
        <v/>
      </c>
      <c r="F17" s="12"/>
      <c r="G17" s="263" t="str">
        <f>IF(F17="","",IF(F17&lt;&gt;AD17,"Forkert","Rigtig"))</f>
        <v/>
      </c>
      <c r="I17" s="12"/>
      <c r="J17" s="263" t="str">
        <f>IF(I17="","",IF(I17&lt;&gt;AG17,"Forkert","Rigtig"))</f>
        <v/>
      </c>
      <c r="N17" s="23"/>
      <c r="AA17" s="437">
        <v>8</v>
      </c>
      <c r="AB17" s="437"/>
      <c r="AC17" s="437"/>
      <c r="AD17" s="437">
        <v>35</v>
      </c>
      <c r="AE17" s="437"/>
      <c r="AF17" s="437"/>
      <c r="AG17" s="437">
        <v>10</v>
      </c>
    </row>
    <row r="18" spans="2:33" ht="18.75" x14ac:dyDescent="0.3">
      <c r="B18" s="280" t="s">
        <v>57</v>
      </c>
      <c r="C18" s="12"/>
      <c r="D18" s="263" t="str">
        <f>IF(C18="","",IF(C18&lt;&gt;AA18,"Forkert","Rigtig"))</f>
        <v/>
      </c>
      <c r="F18" s="12"/>
      <c r="G18" s="263" t="str">
        <f>IF(F18="","",IF(F18&lt;&gt;AD18,"Forkert","Rigtig"))</f>
        <v/>
      </c>
      <c r="I18" s="12"/>
      <c r="J18" s="263" t="str">
        <f>IF(I18="","",IF(I18&lt;&gt;AG18,"Forkert","Rigtig"))</f>
        <v/>
      </c>
      <c r="N18" s="23"/>
      <c r="AA18" s="437" t="s">
        <v>110</v>
      </c>
      <c r="AB18" s="437"/>
      <c r="AC18" s="437"/>
      <c r="AD18" s="437" t="s">
        <v>62</v>
      </c>
      <c r="AE18" s="437"/>
      <c r="AF18" s="437"/>
      <c r="AG18" s="437" t="s">
        <v>115</v>
      </c>
    </row>
    <row r="19" spans="2:33" ht="19.5" thickBot="1" x14ac:dyDescent="0.35">
      <c r="B19" s="299" t="s">
        <v>106</v>
      </c>
      <c r="C19" s="30"/>
      <c r="D19" s="300" t="str">
        <f>IF(C19="","",IF(OR(C19=AA19,MID(C19,2,LEN(AA19))=AA19),"Rigtig","forkert"))</f>
        <v/>
      </c>
      <c r="F19" s="30"/>
      <c r="G19" s="300" t="str">
        <f>IF(F19="","",IF(OR(F19=AD19,MID(F19,2,LEN(AD19))=AD19),"Rigtig","forkert"))</f>
        <v/>
      </c>
      <c r="I19" s="30"/>
      <c r="J19" s="300" t="str">
        <f>IF(I19="","",IF(OR(I19=AG19,MID(I19,2,LEN(AG19))=AG19),"Rigtig","forkert"))</f>
        <v/>
      </c>
      <c r="N19" s="23"/>
      <c r="AA19" s="438" t="s">
        <v>1025</v>
      </c>
      <c r="AB19" s="437"/>
      <c r="AC19" s="437"/>
      <c r="AD19" s="438" t="s">
        <v>113</v>
      </c>
      <c r="AE19" s="437"/>
      <c r="AF19" s="437"/>
      <c r="AG19" s="438" t="s">
        <v>1021</v>
      </c>
    </row>
    <row r="20" spans="2:33" x14ac:dyDescent="0.25">
      <c r="B20" s="17"/>
      <c r="N20" s="23"/>
      <c r="AA20" s="437"/>
      <c r="AB20" s="437"/>
      <c r="AC20" s="437"/>
      <c r="AD20" s="437"/>
      <c r="AE20" s="437"/>
      <c r="AF20" s="437"/>
      <c r="AG20" s="437"/>
    </row>
    <row r="21" spans="2:33" x14ac:dyDescent="0.25">
      <c r="B21" s="17"/>
      <c r="N21" s="23"/>
      <c r="AA21" s="437"/>
      <c r="AB21" s="437"/>
      <c r="AC21" s="437"/>
      <c r="AD21" s="437"/>
      <c r="AE21" s="437"/>
      <c r="AF21" s="437"/>
      <c r="AG21" s="437"/>
    </row>
    <row r="22" spans="2:33" ht="21.75" thickBot="1" x14ac:dyDescent="0.4">
      <c r="B22" s="474" t="s">
        <v>1018</v>
      </c>
      <c r="C22" s="475"/>
      <c r="D22" s="475"/>
      <c r="E22" s="475"/>
      <c r="F22" s="475"/>
      <c r="G22" s="475"/>
      <c r="H22" s="475"/>
      <c r="N22" s="23"/>
      <c r="AA22" s="437"/>
      <c r="AB22" s="437"/>
      <c r="AC22" s="437"/>
      <c r="AD22" s="437"/>
      <c r="AE22" s="437"/>
      <c r="AF22" s="437"/>
      <c r="AG22" s="437"/>
    </row>
    <row r="23" spans="2:33" ht="18.75" x14ac:dyDescent="0.25">
      <c r="B23" s="280" t="s">
        <v>122</v>
      </c>
      <c r="C23" s="298" t="s">
        <v>50</v>
      </c>
      <c r="D23" s="298" t="s">
        <v>117</v>
      </c>
      <c r="E23" s="298" t="s">
        <v>118</v>
      </c>
      <c r="F23" s="298" t="s">
        <v>119</v>
      </c>
      <c r="G23" s="298" t="s">
        <v>120</v>
      </c>
      <c r="H23" s="298" t="s">
        <v>121</v>
      </c>
      <c r="N23" s="23"/>
      <c r="AA23" s="437"/>
      <c r="AB23" s="437"/>
      <c r="AC23" s="437"/>
      <c r="AD23" s="437"/>
      <c r="AE23" s="437"/>
      <c r="AF23" s="437"/>
      <c r="AG23" s="437"/>
    </row>
    <row r="24" spans="2:33" ht="18.75" x14ac:dyDescent="0.25">
      <c r="B24" s="280" t="s">
        <v>116</v>
      </c>
      <c r="C24" s="12"/>
      <c r="D24" s="12"/>
      <c r="E24" s="12"/>
      <c r="F24" s="12"/>
      <c r="G24" s="12"/>
      <c r="H24" s="12"/>
      <c r="N24" s="23"/>
      <c r="AA24" s="437"/>
      <c r="AB24" s="437"/>
      <c r="AC24" s="437"/>
      <c r="AD24" s="437"/>
      <c r="AE24" s="437"/>
      <c r="AF24" s="437"/>
      <c r="AG24" s="437"/>
    </row>
    <row r="25" spans="2:33" ht="18.75" x14ac:dyDescent="0.3">
      <c r="B25" s="280" t="s">
        <v>123</v>
      </c>
      <c r="C25" s="263" t="str">
        <f t="shared" ref="C25:H25" si="0">IF(C24="","",IF(C24&lt;&gt;AA25,"Forkert","Rigtig"))</f>
        <v/>
      </c>
      <c r="D25" s="263" t="str">
        <f t="shared" si="0"/>
        <v/>
      </c>
      <c r="E25" s="263" t="str">
        <f t="shared" si="0"/>
        <v/>
      </c>
      <c r="F25" s="263" t="str">
        <f t="shared" si="0"/>
        <v/>
      </c>
      <c r="G25" s="263" t="str">
        <f t="shared" si="0"/>
        <v/>
      </c>
      <c r="H25" s="263" t="str">
        <f t="shared" si="0"/>
        <v/>
      </c>
      <c r="I25" s="20"/>
      <c r="J25" s="20"/>
      <c r="K25" s="20"/>
      <c r="L25" s="20"/>
      <c r="M25" s="20"/>
      <c r="N25" s="24"/>
      <c r="AA25" s="437">
        <v>1</v>
      </c>
      <c r="AB25" s="437">
        <v>4</v>
      </c>
      <c r="AC25" s="437">
        <v>12</v>
      </c>
      <c r="AD25" s="437">
        <v>3</v>
      </c>
      <c r="AE25" s="437">
        <v>3</v>
      </c>
      <c r="AF25" s="437">
        <v>2</v>
      </c>
      <c r="AG25" s="437"/>
    </row>
  </sheetData>
  <sheetProtection algorithmName="SHA-512" hashValue="C/EMaIsuDK5jEf4i+PWwTUaCPSf7nmYjM+KkNH/V+dsTNeC6tVnDXqYnQNx6wNLq8rAU5DVfUK4DdXmL8LX1vQ==" saltValue="0I+jmjYtknL7H6rLb+o2zg==" spinCount="100000" sheet="1" objects="1" scenarios="1" formatColumns="0" formatRows="0"/>
  <mergeCells count="2">
    <mergeCell ref="B2:N2"/>
    <mergeCell ref="B22:H22"/>
  </mergeCells>
  <conditionalFormatting sqref="B4:N4 B5:J5 K5:N25 E7:E19 H7:H19 B13:D13 F13:G13 I13:J13 B20:J21 I22:J25">
    <cfRule type="expression" dxfId="597" priority="13">
      <formula>AND("Rigtig"=$G$8:$G$12,"Rigtig"=$J$8:$J$12,"Rigtig"=$D$8:$D$12,"Rigtig"=$D$15:$D$19,"Rigtig"=$G$15:$G$19,"Rigtig"=$J$15:$J$19,"Rigtig"=$C$25:$H$25)</formula>
    </cfRule>
  </conditionalFormatting>
  <conditionalFormatting sqref="C25:H25">
    <cfRule type="containsText" dxfId="596" priority="14" operator="containsText" text="Rigtig">
      <formula>NOT(ISERROR(SEARCH("Rigtig",C25)))</formula>
    </cfRule>
    <cfRule type="containsText" dxfId="595" priority="15" operator="containsText" text="Forkert">
      <formula>NOT(ISERROR(SEARCH("Forkert",C25)))</formula>
    </cfRule>
  </conditionalFormatting>
  <conditionalFormatting sqref="D8:D12 G8:G12 J8:J12">
    <cfRule type="containsText" dxfId="594" priority="23" operator="containsText" text="Rigtig">
      <formula>NOT(ISERROR(SEARCH("Rigtig",D8)))</formula>
    </cfRule>
    <cfRule type="containsText" dxfId="593" priority="24" operator="containsText" text="Forkert">
      <formula>NOT(ISERROR(SEARCH("Forkert",D8)))</formula>
    </cfRule>
  </conditionalFormatting>
  <conditionalFormatting sqref="D15:D19">
    <cfRule type="containsText" dxfId="592" priority="1" operator="containsText" text="Rigtig">
      <formula>NOT(ISERROR(SEARCH("Rigtig",D15)))</formula>
    </cfRule>
    <cfRule type="containsText" dxfId="591" priority="2" operator="containsText" text="Forkert">
      <formula>NOT(ISERROR(SEARCH("Forkert",D15)))</formula>
    </cfRule>
  </conditionalFormatting>
  <conditionalFormatting sqref="G15:G19">
    <cfRule type="containsText" dxfId="590" priority="3" operator="containsText" text="Rigtig">
      <formula>NOT(ISERROR(SEARCH("Rigtig",G15)))</formula>
    </cfRule>
    <cfRule type="containsText" dxfId="589" priority="4" operator="containsText" text="Forkert">
      <formula>NOT(ISERROR(SEARCH("Forkert",G15)))</formula>
    </cfRule>
  </conditionalFormatting>
  <conditionalFormatting sqref="J15:J19">
    <cfRule type="containsText" dxfId="588" priority="5" operator="containsText" text="Rigtig">
      <formula>NOT(ISERROR(SEARCH("Rigtig",J15)))</formula>
    </cfRule>
    <cfRule type="containsText" dxfId="587" priority="6" operator="containsText" text="Forkert">
      <formula>NOT(ISERROR(SEARCH("Forkert",J15)))</formula>
    </cfRule>
  </conditionalFormatting>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CBC85-D28E-48B8-875F-3B549BAA7F62}">
  <sheetPr codeName="Sheet3">
    <tabColor theme="9" tint="0.39997558519241921"/>
  </sheetPr>
  <dimension ref="B1:AM51"/>
  <sheetViews>
    <sheetView showGridLines="0" zoomScale="145" zoomScaleNormal="145" workbookViewId="0"/>
  </sheetViews>
  <sheetFormatPr defaultColWidth="9.140625" defaultRowHeight="15" x14ac:dyDescent="0.25"/>
  <cols>
    <col min="2" max="2" width="37.140625" customWidth="1"/>
    <col min="3" max="3" width="6.85546875" customWidth="1"/>
    <col min="4" max="4" width="15.140625" customWidth="1"/>
    <col min="5" max="5" width="5.85546875" customWidth="1"/>
    <col min="6" max="6" width="10.28515625" customWidth="1"/>
    <col min="7" max="7" width="18.7109375" customWidth="1"/>
    <col min="8" max="8" width="6.7109375" customWidth="1"/>
    <col min="9" max="9" width="16.7109375" customWidth="1"/>
    <col min="10" max="10" width="6.42578125" customWidth="1"/>
    <col min="12" max="12" width="6.7109375" customWidth="1"/>
    <col min="13" max="13" width="10.5703125" customWidth="1"/>
    <col min="14" max="14" width="9.7109375" customWidth="1"/>
  </cols>
  <sheetData>
    <row r="1" spans="2:39" x14ac:dyDescent="0.25">
      <c r="AA1" s="437"/>
      <c r="AB1" s="437"/>
      <c r="AC1" s="437"/>
      <c r="AD1" s="437"/>
      <c r="AE1" s="437"/>
      <c r="AF1" s="437"/>
      <c r="AG1" s="437"/>
      <c r="AH1" s="437"/>
      <c r="AI1" s="437"/>
      <c r="AJ1" s="437"/>
      <c r="AK1" s="437"/>
      <c r="AL1" s="437"/>
      <c r="AM1" s="437"/>
    </row>
    <row r="2" spans="2:39" s="10" customFormat="1" ht="36.75" thickBot="1" x14ac:dyDescent="0.6">
      <c r="B2" s="476" t="s">
        <v>700</v>
      </c>
      <c r="C2" s="477"/>
      <c r="D2" s="477"/>
      <c r="E2" s="477"/>
      <c r="F2" s="477"/>
      <c r="G2" s="477"/>
      <c r="H2" s="477"/>
      <c r="I2" s="477"/>
      <c r="J2" s="477"/>
      <c r="K2" s="477"/>
      <c r="L2" s="477"/>
      <c r="M2" s="477"/>
      <c r="N2" s="478"/>
      <c r="AA2" s="439"/>
      <c r="AB2" s="439"/>
      <c r="AC2" s="439"/>
      <c r="AD2" s="439"/>
      <c r="AE2" s="439"/>
      <c r="AF2" s="439"/>
      <c r="AG2" s="439"/>
      <c r="AH2" s="439"/>
      <c r="AI2" s="439"/>
      <c r="AJ2" s="439"/>
      <c r="AK2" s="439"/>
      <c r="AL2" s="439"/>
      <c r="AM2" s="439"/>
    </row>
    <row r="3" spans="2:39" x14ac:dyDescent="0.25">
      <c r="B3" s="17" t="s">
        <v>125</v>
      </c>
      <c r="M3" s="81" t="s">
        <v>0</v>
      </c>
      <c r="N3" s="82" t="s">
        <v>1</v>
      </c>
      <c r="O3" s="1"/>
      <c r="AA3" s="440"/>
      <c r="AB3" s="440"/>
      <c r="AC3" s="437"/>
      <c r="AD3" s="437"/>
      <c r="AE3" s="437"/>
      <c r="AF3" s="437"/>
      <c r="AG3" s="437"/>
      <c r="AH3" s="437"/>
      <c r="AI3" s="437"/>
      <c r="AJ3" s="437"/>
      <c r="AK3" s="437"/>
      <c r="AL3" s="437"/>
      <c r="AM3" s="437"/>
    </row>
    <row r="4" spans="2:39" ht="13.5" customHeight="1" x14ac:dyDescent="0.25">
      <c r="B4" s="83"/>
      <c r="C4" s="84"/>
      <c r="D4" s="84"/>
      <c r="E4" s="84"/>
      <c r="F4" s="84"/>
      <c r="G4" s="84"/>
      <c r="H4" s="84"/>
      <c r="I4" s="84"/>
      <c r="J4" s="84"/>
      <c r="K4" s="84"/>
      <c r="L4" s="84"/>
      <c r="M4" s="84"/>
      <c r="N4" s="85"/>
      <c r="AA4" s="437"/>
      <c r="AB4" s="437"/>
      <c r="AC4" s="437"/>
      <c r="AD4" s="437"/>
      <c r="AE4" s="437"/>
      <c r="AF4" s="437"/>
      <c r="AG4" s="437"/>
      <c r="AH4" s="437"/>
      <c r="AI4" s="437"/>
      <c r="AJ4" s="437"/>
      <c r="AK4" s="437"/>
      <c r="AL4" s="437"/>
      <c r="AM4" s="437"/>
    </row>
    <row r="5" spans="2:39" ht="13.5" customHeight="1" x14ac:dyDescent="0.25">
      <c r="B5" s="78"/>
      <c r="C5" s="79"/>
      <c r="D5" s="79"/>
      <c r="E5" s="79"/>
      <c r="F5" s="79"/>
      <c r="G5" s="79"/>
      <c r="H5" s="79"/>
      <c r="I5" s="79"/>
      <c r="J5" s="79"/>
      <c r="K5" s="79"/>
      <c r="L5" s="79"/>
      <c r="M5" s="79"/>
      <c r="N5" s="80"/>
      <c r="AA5" s="437"/>
      <c r="AB5" s="437"/>
      <c r="AC5" s="437"/>
      <c r="AD5" s="437"/>
      <c r="AE5" s="437"/>
      <c r="AF5" s="437"/>
      <c r="AG5" s="437"/>
      <c r="AH5" s="437"/>
      <c r="AI5" s="437"/>
      <c r="AJ5" s="437"/>
      <c r="AK5" s="437"/>
      <c r="AL5" s="437"/>
      <c r="AM5" s="437"/>
    </row>
    <row r="6" spans="2:39" ht="13.5" customHeight="1" x14ac:dyDescent="0.25">
      <c r="B6" s="78"/>
      <c r="C6" s="79"/>
      <c r="D6" s="79"/>
      <c r="E6" s="79"/>
      <c r="F6" s="79"/>
      <c r="G6" s="79"/>
      <c r="H6" s="79"/>
      <c r="I6" s="79"/>
      <c r="J6" s="79"/>
      <c r="K6" s="79"/>
      <c r="L6" s="79"/>
      <c r="M6" s="79"/>
      <c r="N6" s="80"/>
      <c r="AA6" s="437"/>
      <c r="AB6" s="437"/>
      <c r="AC6" s="437"/>
      <c r="AD6" s="437"/>
      <c r="AE6" s="437"/>
      <c r="AF6" s="437"/>
      <c r="AG6" s="437"/>
      <c r="AH6" s="437"/>
      <c r="AI6" s="437"/>
      <c r="AJ6" s="437"/>
      <c r="AK6" s="437"/>
      <c r="AL6" s="437"/>
      <c r="AM6" s="437"/>
    </row>
    <row r="7" spans="2:39" ht="23.25" x14ac:dyDescent="0.35">
      <c r="B7" s="301" t="str">
        <f>IF(AND(C10="R",E10="R",H10="R",J10="R",L10="R"),"Afstemt reaktionsskema 😉","Ikke afstemt reaktionsskema:")</f>
        <v>Ikke afstemt reaktionsskema:</v>
      </c>
      <c r="C7" s="302" t="s">
        <v>1093</v>
      </c>
      <c r="D7" s="303"/>
      <c r="E7" s="303"/>
      <c r="F7" s="303"/>
      <c r="G7" s="303"/>
      <c r="H7" s="303"/>
      <c r="I7" s="303"/>
      <c r="J7" s="303"/>
      <c r="K7" s="303"/>
      <c r="L7" s="303"/>
      <c r="M7" s="304"/>
      <c r="N7" s="80"/>
      <c r="AA7" s="437"/>
      <c r="AB7" s="437"/>
      <c r="AC7" s="437"/>
      <c r="AD7" s="437"/>
      <c r="AE7" s="437"/>
      <c r="AF7" s="437"/>
      <c r="AG7" s="437"/>
      <c r="AH7" s="437"/>
      <c r="AI7" s="437"/>
      <c r="AJ7" s="437"/>
      <c r="AK7" s="437"/>
      <c r="AL7" s="437"/>
      <c r="AM7" s="437"/>
    </row>
    <row r="8" spans="2:39" ht="18.75" x14ac:dyDescent="0.3">
      <c r="B8" s="297" t="s">
        <v>130</v>
      </c>
      <c r="C8" s="305"/>
      <c r="D8" s="305"/>
      <c r="E8" s="305"/>
      <c r="F8" s="305"/>
      <c r="G8" s="305"/>
      <c r="H8" s="305"/>
      <c r="I8" s="305"/>
      <c r="J8" s="305"/>
      <c r="K8" s="305"/>
      <c r="L8" s="305"/>
      <c r="M8" s="306"/>
      <c r="N8" s="80"/>
      <c r="AA8" s="437"/>
      <c r="AB8" s="437"/>
      <c r="AC8" s="437"/>
      <c r="AD8" s="437"/>
      <c r="AE8" s="437"/>
      <c r="AF8" s="437"/>
      <c r="AG8" s="437"/>
      <c r="AH8" s="437"/>
      <c r="AI8" s="437"/>
      <c r="AJ8" s="437"/>
      <c r="AK8" s="437"/>
      <c r="AL8" s="437"/>
      <c r="AM8" s="437"/>
    </row>
    <row r="9" spans="2:39" ht="18.75" x14ac:dyDescent="0.3">
      <c r="B9" s="263" t="s">
        <v>78</v>
      </c>
      <c r="C9" s="8"/>
      <c r="D9" s="307" t="s">
        <v>100</v>
      </c>
      <c r="E9" s="8"/>
      <c r="F9" s="307" t="s">
        <v>77</v>
      </c>
      <c r="G9" s="307" t="s">
        <v>48</v>
      </c>
      <c r="H9" s="8"/>
      <c r="I9" s="307" t="s">
        <v>80</v>
      </c>
      <c r="J9" s="8"/>
      <c r="K9" s="307" t="s">
        <v>81</v>
      </c>
      <c r="L9" s="8"/>
      <c r="M9" s="308" t="s">
        <v>101</v>
      </c>
      <c r="N9" s="80"/>
      <c r="AA9" s="437">
        <v>1</v>
      </c>
      <c r="AB9" s="437"/>
      <c r="AC9" s="437">
        <v>2</v>
      </c>
      <c r="AD9" s="437"/>
      <c r="AE9" s="437"/>
      <c r="AF9" s="437">
        <v>1</v>
      </c>
      <c r="AG9" s="437"/>
      <c r="AH9" s="437">
        <v>1</v>
      </c>
      <c r="AI9" s="437"/>
      <c r="AJ9" s="437">
        <v>1</v>
      </c>
      <c r="AK9" s="437"/>
      <c r="AL9" s="437"/>
      <c r="AM9" s="437"/>
    </row>
    <row r="10" spans="2:39" ht="18.75" x14ac:dyDescent="0.3">
      <c r="B10" s="280" t="s">
        <v>79</v>
      </c>
      <c r="C10" s="263" t="str">
        <f>IF(C9="","",IF(C9&lt;&gt;AA9,"F","R"))</f>
        <v/>
      </c>
      <c r="D10" s="280"/>
      <c r="E10" s="263" t="str">
        <f>IF(E9="","",IF(E9&lt;&gt;AC9,"F","R"))</f>
        <v/>
      </c>
      <c r="F10" s="263"/>
      <c r="G10" s="263"/>
      <c r="H10" s="263" t="str">
        <f>IF(H9="","",IF(H9&lt;&gt;AF9,"F","R"))</f>
        <v/>
      </c>
      <c r="I10" s="263"/>
      <c r="J10" s="263" t="str">
        <f>IF(J9="","",IF(J9&lt;&gt;AH9,"F","R"))</f>
        <v/>
      </c>
      <c r="K10" s="263"/>
      <c r="L10" s="263" t="str">
        <f>IF(L9="","",IF(L9&lt;&gt;AJ9,"F","R"))</f>
        <v/>
      </c>
      <c r="M10" s="263"/>
      <c r="N10" s="80"/>
      <c r="AA10" s="437"/>
      <c r="AB10" s="437"/>
      <c r="AC10" s="437"/>
      <c r="AD10" s="437"/>
      <c r="AE10" s="437"/>
      <c r="AF10" s="437"/>
      <c r="AG10" s="437"/>
      <c r="AH10" s="437"/>
      <c r="AI10" s="437"/>
      <c r="AJ10" s="437"/>
      <c r="AK10" s="437"/>
      <c r="AL10" s="437"/>
      <c r="AM10" s="437"/>
    </row>
    <row r="11" spans="2:39" ht="15.75" x14ac:dyDescent="0.25">
      <c r="B11" s="309" t="s">
        <v>82</v>
      </c>
      <c r="C11" s="310" t="str">
        <f>IF(AND(C10="R",E10="R",H10="R",J10="R",L10="R"),"Flot - det afstemte reaktionsskema er nemlig: CaCO₃ + 2HCl ⟶ CO₂ + H₂O + CaCl₂   Det er kalks reaktion med saltsyre","Du har endnu ikke afstemt reaktionsskemaet korrekt")</f>
        <v>Du har endnu ikke afstemt reaktionsskemaet korrekt</v>
      </c>
      <c r="D11" s="311"/>
      <c r="E11" s="311"/>
      <c r="F11" s="311"/>
      <c r="G11" s="311"/>
      <c r="H11" s="311"/>
      <c r="I11" s="311"/>
      <c r="J11" s="311"/>
      <c r="K11" s="311"/>
      <c r="L11" s="311"/>
      <c r="M11" s="312"/>
      <c r="N11" s="80"/>
      <c r="AA11" s="437"/>
      <c r="AB11" s="437"/>
      <c r="AC11" s="437"/>
      <c r="AD11" s="437"/>
      <c r="AE11" s="437"/>
      <c r="AF11" s="437"/>
      <c r="AG11" s="437"/>
      <c r="AH11" s="437"/>
      <c r="AI11" s="437"/>
      <c r="AJ11" s="437"/>
      <c r="AK11" s="437"/>
      <c r="AL11" s="437"/>
      <c r="AM11" s="437"/>
    </row>
    <row r="12" spans="2:39" x14ac:dyDescent="0.25">
      <c r="B12" s="78"/>
      <c r="C12" s="79"/>
      <c r="D12" s="79"/>
      <c r="E12" s="79"/>
      <c r="F12" s="79"/>
      <c r="G12" s="79"/>
      <c r="H12" s="79"/>
      <c r="I12" s="79"/>
      <c r="J12" s="79"/>
      <c r="K12" s="79"/>
      <c r="L12" s="79"/>
      <c r="M12" s="79"/>
      <c r="N12" s="80"/>
      <c r="AA12" s="437"/>
      <c r="AB12" s="437"/>
      <c r="AC12" s="437"/>
      <c r="AD12" s="437"/>
      <c r="AE12" s="437"/>
      <c r="AF12" s="437"/>
      <c r="AG12" s="437"/>
      <c r="AH12" s="437"/>
      <c r="AI12" s="437"/>
      <c r="AJ12" s="437"/>
      <c r="AK12" s="437"/>
      <c r="AL12" s="437"/>
      <c r="AM12" s="437"/>
    </row>
    <row r="13" spans="2:39" x14ac:dyDescent="0.25">
      <c r="B13" s="78"/>
      <c r="C13" s="79"/>
      <c r="D13" s="79"/>
      <c r="E13" s="79"/>
      <c r="F13" s="79"/>
      <c r="G13" s="79"/>
      <c r="H13" s="79"/>
      <c r="I13" s="79"/>
      <c r="J13" s="79"/>
      <c r="K13" s="79"/>
      <c r="L13" s="79"/>
      <c r="M13" s="79"/>
      <c r="N13" s="80"/>
      <c r="AA13" s="437"/>
      <c r="AB13" s="437"/>
      <c r="AC13" s="437"/>
      <c r="AD13" s="437"/>
      <c r="AE13" s="437"/>
      <c r="AF13" s="437"/>
      <c r="AG13" s="437"/>
      <c r="AH13" s="437"/>
      <c r="AI13" s="437"/>
      <c r="AJ13" s="437"/>
      <c r="AK13" s="437"/>
      <c r="AL13" s="437"/>
      <c r="AM13" s="437"/>
    </row>
    <row r="14" spans="2:39" x14ac:dyDescent="0.25">
      <c r="B14" s="78"/>
      <c r="C14" s="79"/>
      <c r="D14" s="79"/>
      <c r="E14" s="79"/>
      <c r="F14" s="79"/>
      <c r="G14" s="79"/>
      <c r="H14" s="79"/>
      <c r="I14" s="79"/>
      <c r="J14" s="79"/>
      <c r="K14" s="79"/>
      <c r="L14" s="79"/>
      <c r="M14" s="79"/>
      <c r="N14" s="80"/>
      <c r="AA14" s="437"/>
      <c r="AB14" s="437"/>
      <c r="AC14" s="437"/>
      <c r="AD14" s="437"/>
      <c r="AE14" s="437"/>
      <c r="AF14" s="437"/>
      <c r="AG14" s="437"/>
      <c r="AH14" s="437"/>
      <c r="AI14" s="437"/>
      <c r="AJ14" s="437"/>
      <c r="AK14" s="437"/>
      <c r="AL14" s="437"/>
      <c r="AM14" s="437"/>
    </row>
    <row r="15" spans="2:39" ht="23.25" x14ac:dyDescent="0.35">
      <c r="B15" s="301" t="str">
        <f>IF(AND(C18="R",E18="R",H18="R"),"Afstemt reaktionsskema 😉","Ikke afstemt reaktionsskema:")</f>
        <v>Ikke afstemt reaktionsskema:</v>
      </c>
      <c r="C15" s="302" t="s">
        <v>102</v>
      </c>
      <c r="D15" s="303"/>
      <c r="E15" s="303"/>
      <c r="F15" s="303"/>
      <c r="G15" s="303"/>
      <c r="H15" s="303"/>
      <c r="I15" s="304"/>
      <c r="J15" s="79"/>
      <c r="K15" s="79"/>
      <c r="L15" s="79"/>
      <c r="M15" s="79"/>
      <c r="N15" s="80"/>
      <c r="AA15" s="437"/>
      <c r="AB15" s="437"/>
      <c r="AC15" s="437"/>
      <c r="AD15" s="437"/>
      <c r="AE15" s="437"/>
      <c r="AF15" s="437"/>
      <c r="AG15" s="437"/>
      <c r="AH15" s="437"/>
      <c r="AI15" s="437"/>
      <c r="AJ15" s="437"/>
      <c r="AK15" s="437"/>
      <c r="AL15" s="437"/>
      <c r="AM15" s="437"/>
    </row>
    <row r="16" spans="2:39" ht="18.75" x14ac:dyDescent="0.3">
      <c r="B16" s="297" t="s">
        <v>130</v>
      </c>
      <c r="C16" s="305"/>
      <c r="D16" s="305"/>
      <c r="E16" s="305"/>
      <c r="F16" s="305"/>
      <c r="G16" s="305"/>
      <c r="H16" s="305"/>
      <c r="I16" s="306"/>
      <c r="J16" s="79"/>
      <c r="K16" s="79"/>
      <c r="L16" s="79"/>
      <c r="M16" s="79"/>
      <c r="N16" s="80"/>
      <c r="AA16" s="437"/>
      <c r="AB16" s="437"/>
      <c r="AC16" s="437"/>
      <c r="AD16" s="437"/>
      <c r="AE16" s="437"/>
      <c r="AF16" s="437"/>
      <c r="AG16" s="437"/>
      <c r="AH16" s="437"/>
      <c r="AI16" s="437"/>
      <c r="AJ16" s="437"/>
      <c r="AK16" s="437"/>
      <c r="AL16" s="437"/>
      <c r="AM16" s="437"/>
    </row>
    <row r="17" spans="2:39" ht="18.75" x14ac:dyDescent="0.3">
      <c r="B17" s="263" t="s">
        <v>83</v>
      </c>
      <c r="C17" s="8"/>
      <c r="D17" s="307" t="s">
        <v>103</v>
      </c>
      <c r="E17" s="8"/>
      <c r="F17" s="307" t="s">
        <v>49</v>
      </c>
      <c r="G17" s="307" t="s">
        <v>48</v>
      </c>
      <c r="H17" s="8"/>
      <c r="I17" s="307" t="s">
        <v>104</v>
      </c>
      <c r="J17" s="79"/>
      <c r="K17" s="79"/>
      <c r="L17" s="79"/>
      <c r="M17" s="79"/>
      <c r="N17" s="80"/>
      <c r="AA17" s="437">
        <v>4</v>
      </c>
      <c r="AB17" s="437"/>
      <c r="AC17" s="437">
        <v>3</v>
      </c>
      <c r="AD17" s="437"/>
      <c r="AE17" s="437"/>
      <c r="AF17" s="437">
        <v>2</v>
      </c>
      <c r="AG17" s="437"/>
      <c r="AH17" s="437"/>
      <c r="AI17" s="437"/>
      <c r="AJ17" s="437"/>
      <c r="AK17" s="437"/>
      <c r="AL17" s="437"/>
      <c r="AM17" s="437"/>
    </row>
    <row r="18" spans="2:39" ht="18.75" x14ac:dyDescent="0.3">
      <c r="B18" s="280" t="s">
        <v>79</v>
      </c>
      <c r="C18" s="263" t="str">
        <f>IF(C17="","",IF(C17&lt;&gt;AA17,"F","R"))</f>
        <v/>
      </c>
      <c r="D18" s="280"/>
      <c r="E18" s="263" t="str">
        <f>IF(E17="","",IF(E17&lt;&gt;AC17,"F","R"))</f>
        <v/>
      </c>
      <c r="F18" s="263"/>
      <c r="G18" s="263"/>
      <c r="H18" s="263" t="str">
        <f>IF(H17="","",IF(H17&lt;&gt;AF17,"F","R"))</f>
        <v/>
      </c>
      <c r="I18" s="263"/>
      <c r="J18" s="79"/>
      <c r="K18" s="79"/>
      <c r="L18" s="79"/>
      <c r="M18" s="79"/>
      <c r="N18" s="80"/>
      <c r="AA18" s="437"/>
      <c r="AB18" s="437"/>
      <c r="AC18" s="437"/>
      <c r="AD18" s="437"/>
      <c r="AE18" s="437"/>
      <c r="AF18" s="437"/>
      <c r="AG18" s="437"/>
      <c r="AH18" s="437"/>
      <c r="AI18" s="437"/>
      <c r="AJ18" s="437"/>
      <c r="AK18" s="437"/>
      <c r="AL18" s="437"/>
      <c r="AM18" s="437"/>
    </row>
    <row r="19" spans="2:39" ht="15.75" x14ac:dyDescent="0.25">
      <c r="B19" s="309" t="s">
        <v>82</v>
      </c>
      <c r="C19" s="310" t="str">
        <f>IF(AND(C18="R",E18="R",H18="R"),"Flot - det afstemte reaktionsskema er nemlig: 4Fe + 3O₂ ⟶ 2Fe₂O₃     Det er jern, der ruster","Du har endnu ikke afstemt reaktionsskemaet korrekt")</f>
        <v>Du har endnu ikke afstemt reaktionsskemaet korrekt</v>
      </c>
      <c r="D19" s="311"/>
      <c r="E19" s="311"/>
      <c r="F19" s="311"/>
      <c r="G19" s="311"/>
      <c r="H19" s="311"/>
      <c r="I19" s="312"/>
      <c r="J19" s="79"/>
      <c r="K19" s="79"/>
      <c r="L19" s="79"/>
      <c r="M19" s="79"/>
      <c r="N19" s="80"/>
      <c r="AA19" s="437"/>
      <c r="AB19" s="437"/>
      <c r="AC19" s="437"/>
      <c r="AD19" s="437"/>
      <c r="AE19" s="437"/>
      <c r="AF19" s="437"/>
      <c r="AG19" s="437"/>
      <c r="AH19" s="437"/>
      <c r="AI19" s="437"/>
      <c r="AJ19" s="437"/>
      <c r="AK19" s="437"/>
      <c r="AL19" s="437"/>
      <c r="AM19" s="437"/>
    </row>
    <row r="20" spans="2:39" x14ac:dyDescent="0.25">
      <c r="B20" s="78"/>
      <c r="C20" s="79"/>
      <c r="D20" s="79"/>
      <c r="E20" s="79"/>
      <c r="F20" s="79"/>
      <c r="G20" s="79"/>
      <c r="H20" s="79"/>
      <c r="I20" s="79"/>
      <c r="J20" s="79"/>
      <c r="K20" s="79"/>
      <c r="L20" s="79"/>
      <c r="M20" s="79"/>
      <c r="N20" s="80"/>
      <c r="AA20" s="437"/>
      <c r="AB20" s="437"/>
      <c r="AC20" s="437"/>
      <c r="AD20" s="437"/>
      <c r="AE20" s="437"/>
      <c r="AF20" s="437"/>
      <c r="AG20" s="437"/>
      <c r="AH20" s="437"/>
      <c r="AI20" s="437"/>
      <c r="AJ20" s="437"/>
      <c r="AK20" s="437"/>
      <c r="AL20" s="437"/>
      <c r="AM20" s="437"/>
    </row>
    <row r="21" spans="2:39" x14ac:dyDescent="0.25">
      <c r="B21" s="78"/>
      <c r="C21" s="79"/>
      <c r="D21" s="79"/>
      <c r="E21" s="79"/>
      <c r="F21" s="79"/>
      <c r="G21" s="79"/>
      <c r="H21" s="79"/>
      <c r="I21" s="79"/>
      <c r="J21" s="79"/>
      <c r="K21" s="79"/>
      <c r="L21" s="79"/>
      <c r="M21" s="79"/>
      <c r="N21" s="80"/>
      <c r="AA21" s="437"/>
      <c r="AB21" s="437"/>
      <c r="AC21" s="437"/>
      <c r="AD21" s="437"/>
      <c r="AE21" s="437"/>
      <c r="AF21" s="437"/>
      <c r="AG21" s="437"/>
      <c r="AH21" s="437"/>
      <c r="AI21" s="437"/>
      <c r="AJ21" s="437"/>
      <c r="AK21" s="437"/>
      <c r="AL21" s="437"/>
      <c r="AM21" s="437"/>
    </row>
    <row r="22" spans="2:39" x14ac:dyDescent="0.25">
      <c r="B22" s="78"/>
      <c r="C22" s="79"/>
      <c r="D22" s="79"/>
      <c r="E22" s="79"/>
      <c r="F22" s="79"/>
      <c r="G22" s="79"/>
      <c r="H22" s="79"/>
      <c r="I22" s="79"/>
      <c r="J22" s="79"/>
      <c r="K22" s="79"/>
      <c r="L22" s="79"/>
      <c r="M22" s="79"/>
      <c r="N22" s="80"/>
      <c r="AA22" s="437"/>
      <c r="AB22" s="437"/>
      <c r="AC22" s="437"/>
      <c r="AD22" s="437"/>
      <c r="AE22" s="437"/>
      <c r="AF22" s="437"/>
      <c r="AG22" s="437"/>
      <c r="AH22" s="437"/>
      <c r="AI22" s="437"/>
      <c r="AJ22" s="437"/>
      <c r="AK22" s="437"/>
      <c r="AL22" s="437"/>
      <c r="AM22" s="437"/>
    </row>
    <row r="23" spans="2:39" ht="23.25" x14ac:dyDescent="0.35">
      <c r="B23" s="301" t="str">
        <f>IF(AND(C26="R",E26="R",H26="R",J26="R"),"Afstemt reaktionsskema 😉","Ikke afstemt reaktionsskema:")</f>
        <v>Ikke afstemt reaktionsskema:</v>
      </c>
      <c r="C23" s="302" t="s">
        <v>86</v>
      </c>
      <c r="D23" s="303"/>
      <c r="E23" s="303"/>
      <c r="F23" s="303"/>
      <c r="G23" s="303"/>
      <c r="H23" s="303"/>
      <c r="I23" s="303"/>
      <c r="J23" s="303"/>
      <c r="K23" s="304"/>
      <c r="L23" s="79"/>
      <c r="M23" s="79"/>
      <c r="N23" s="80"/>
      <c r="AA23" s="437"/>
      <c r="AB23" s="437"/>
      <c r="AC23" s="437"/>
      <c r="AD23" s="437"/>
      <c r="AE23" s="437"/>
      <c r="AF23" s="437"/>
      <c r="AG23" s="437"/>
      <c r="AH23" s="437"/>
      <c r="AI23" s="437"/>
      <c r="AJ23" s="437"/>
      <c r="AK23" s="437"/>
      <c r="AL23" s="437"/>
      <c r="AM23" s="437"/>
    </row>
    <row r="24" spans="2:39" ht="18.75" x14ac:dyDescent="0.3">
      <c r="B24" s="297" t="s">
        <v>130</v>
      </c>
      <c r="C24" s="305"/>
      <c r="D24" s="305"/>
      <c r="E24" s="305"/>
      <c r="F24" s="305"/>
      <c r="G24" s="305"/>
      <c r="H24" s="305"/>
      <c r="I24" s="305"/>
      <c r="J24" s="305"/>
      <c r="K24" s="306"/>
      <c r="L24" s="79"/>
      <c r="M24" s="79"/>
      <c r="N24" s="80"/>
      <c r="AA24" s="437"/>
      <c r="AB24" s="437"/>
      <c r="AC24" s="437"/>
      <c r="AD24" s="437"/>
      <c r="AE24" s="437"/>
      <c r="AF24" s="437"/>
      <c r="AG24" s="437"/>
      <c r="AH24" s="437"/>
      <c r="AI24" s="437"/>
      <c r="AJ24" s="437"/>
      <c r="AK24" s="437"/>
      <c r="AL24" s="437"/>
      <c r="AM24" s="437"/>
    </row>
    <row r="25" spans="2:39" ht="18.75" x14ac:dyDescent="0.3">
      <c r="B25" s="263" t="s">
        <v>84</v>
      </c>
      <c r="C25" s="9"/>
      <c r="D25" s="307" t="s">
        <v>87</v>
      </c>
      <c r="E25" s="9"/>
      <c r="F25" s="307" t="s">
        <v>50</v>
      </c>
      <c r="G25" s="307" t="s">
        <v>48</v>
      </c>
      <c r="H25" s="9"/>
      <c r="I25" s="307" t="s">
        <v>88</v>
      </c>
      <c r="J25" s="9"/>
      <c r="K25" s="307" t="s">
        <v>89</v>
      </c>
      <c r="L25" s="79"/>
      <c r="M25" s="79"/>
      <c r="N25" s="80"/>
      <c r="AA25" s="437">
        <v>2</v>
      </c>
      <c r="AB25" s="437"/>
      <c r="AC25" s="437">
        <v>2</v>
      </c>
      <c r="AD25" s="437"/>
      <c r="AE25" s="437"/>
      <c r="AF25" s="437">
        <v>2</v>
      </c>
      <c r="AG25" s="437"/>
      <c r="AH25" s="437">
        <v>1</v>
      </c>
      <c r="AI25" s="437"/>
      <c r="AJ25" s="437"/>
      <c r="AK25" s="437"/>
      <c r="AL25" s="437"/>
      <c r="AM25" s="437"/>
    </row>
    <row r="26" spans="2:39" ht="18.75" x14ac:dyDescent="0.3">
      <c r="B26" s="280" t="s">
        <v>79</v>
      </c>
      <c r="C26" s="263" t="str">
        <f>IF(C25="","",IF(C25&lt;&gt;AA25,"F","R"))</f>
        <v/>
      </c>
      <c r="D26" s="280"/>
      <c r="E26" s="263" t="str">
        <f>IF(E25="","",IF(E25&lt;&gt;AC25,"F","R"))</f>
        <v/>
      </c>
      <c r="F26" s="263"/>
      <c r="G26" s="263"/>
      <c r="H26" s="263" t="str">
        <f>IF(H25="","",IF(H25&lt;&gt;AF25,"F","R"))</f>
        <v/>
      </c>
      <c r="I26" s="263"/>
      <c r="J26" s="263" t="str">
        <f>IF(J25="","",IF(J25&lt;&gt;AH25,"F","R"))</f>
        <v/>
      </c>
      <c r="K26" s="263"/>
      <c r="L26" s="79"/>
      <c r="M26" s="79"/>
      <c r="N26" s="80"/>
      <c r="AA26" s="437"/>
      <c r="AB26" s="437"/>
      <c r="AC26" s="437"/>
      <c r="AD26" s="437"/>
      <c r="AE26" s="437"/>
      <c r="AF26" s="437"/>
      <c r="AG26" s="437"/>
      <c r="AH26" s="437"/>
      <c r="AI26" s="437"/>
      <c r="AJ26" s="437"/>
      <c r="AK26" s="437"/>
      <c r="AL26" s="437"/>
      <c r="AM26" s="437"/>
    </row>
    <row r="27" spans="2:39" ht="15.75" x14ac:dyDescent="0.25">
      <c r="B27" s="309" t="s">
        <v>82</v>
      </c>
      <c r="C27" s="310" t="str">
        <f>IF(AND(C26="R",E26="R",H26="R",J26="R"),"Flot - det afstemte reaktionsskema er nemlig: 2Na + 2H₂O ⟶ 2NaOH + H₂    Det er natriums reaktion med vand","Du har endnu ikke afstemt reaktionsskemaet korrekt")</f>
        <v>Du har endnu ikke afstemt reaktionsskemaet korrekt</v>
      </c>
      <c r="D27" s="311"/>
      <c r="E27" s="311"/>
      <c r="F27" s="311"/>
      <c r="G27" s="311"/>
      <c r="H27" s="311"/>
      <c r="I27" s="311"/>
      <c r="J27" s="311"/>
      <c r="K27" s="312"/>
      <c r="L27" s="79"/>
      <c r="M27" s="79"/>
      <c r="N27" s="80"/>
      <c r="AA27" s="437"/>
      <c r="AB27" s="437"/>
      <c r="AC27" s="437"/>
      <c r="AD27" s="437"/>
      <c r="AE27" s="437"/>
      <c r="AF27" s="437"/>
      <c r="AG27" s="437"/>
      <c r="AH27" s="437"/>
      <c r="AI27" s="437"/>
      <c r="AJ27" s="437"/>
      <c r="AK27" s="437"/>
      <c r="AL27" s="437"/>
      <c r="AM27" s="437"/>
    </row>
    <row r="28" spans="2:39" x14ac:dyDescent="0.25">
      <c r="B28" s="78"/>
      <c r="C28" s="79"/>
      <c r="D28" s="79"/>
      <c r="E28" s="79"/>
      <c r="F28" s="79"/>
      <c r="G28" s="79"/>
      <c r="H28" s="79"/>
      <c r="I28" s="79"/>
      <c r="J28" s="79"/>
      <c r="K28" s="79"/>
      <c r="L28" s="79"/>
      <c r="M28" s="79"/>
      <c r="N28" s="80"/>
      <c r="AA28" s="437"/>
      <c r="AB28" s="437"/>
      <c r="AC28" s="437"/>
      <c r="AD28" s="437"/>
      <c r="AE28" s="437"/>
      <c r="AF28" s="437"/>
      <c r="AG28" s="437"/>
      <c r="AH28" s="437"/>
      <c r="AI28" s="437"/>
      <c r="AJ28" s="437"/>
      <c r="AK28" s="437"/>
      <c r="AL28" s="437"/>
      <c r="AM28" s="437"/>
    </row>
    <row r="29" spans="2:39" x14ac:dyDescent="0.25">
      <c r="B29" s="78"/>
      <c r="C29" s="79"/>
      <c r="D29" s="79"/>
      <c r="E29" s="79"/>
      <c r="F29" s="79"/>
      <c r="G29" s="79"/>
      <c r="H29" s="79"/>
      <c r="I29" s="79"/>
      <c r="J29" s="79"/>
      <c r="K29" s="79"/>
      <c r="L29" s="79"/>
      <c r="M29" s="79"/>
      <c r="N29" s="80"/>
      <c r="AA29" s="437"/>
      <c r="AB29" s="437"/>
      <c r="AC29" s="437"/>
      <c r="AD29" s="437"/>
      <c r="AE29" s="437"/>
      <c r="AF29" s="437"/>
      <c r="AG29" s="437"/>
      <c r="AH29" s="437"/>
      <c r="AI29" s="437"/>
      <c r="AJ29" s="437"/>
      <c r="AK29" s="437"/>
      <c r="AL29" s="437"/>
      <c r="AM29" s="437"/>
    </row>
    <row r="30" spans="2:39" x14ac:dyDescent="0.25">
      <c r="B30" s="78"/>
      <c r="C30" s="79"/>
      <c r="D30" s="79"/>
      <c r="E30" s="79"/>
      <c r="F30" s="79"/>
      <c r="G30" s="79"/>
      <c r="H30" s="79"/>
      <c r="I30" s="79"/>
      <c r="J30" s="79"/>
      <c r="K30" s="79"/>
      <c r="L30" s="79"/>
      <c r="M30" s="79"/>
      <c r="N30" s="80"/>
      <c r="AA30" s="437"/>
      <c r="AB30" s="437"/>
      <c r="AC30" s="437"/>
      <c r="AD30" s="437"/>
      <c r="AE30" s="437"/>
      <c r="AF30" s="437"/>
      <c r="AG30" s="437"/>
      <c r="AH30" s="437"/>
      <c r="AI30" s="437"/>
      <c r="AJ30" s="437"/>
      <c r="AK30" s="437"/>
      <c r="AL30" s="437"/>
      <c r="AM30" s="437"/>
    </row>
    <row r="31" spans="2:39" ht="23.25" x14ac:dyDescent="0.35">
      <c r="B31" s="301" t="str">
        <f>IF(AND(C34="R",E34="R",H34="R",J34="R"),"Afstemt reaktionsskema 😉","Ikke afstemt reaktionsskema:")</f>
        <v>Ikke afstemt reaktionsskema:</v>
      </c>
      <c r="C31" s="302" t="s">
        <v>97</v>
      </c>
      <c r="D31" s="303"/>
      <c r="E31" s="303"/>
      <c r="F31" s="303"/>
      <c r="G31" s="303"/>
      <c r="H31" s="303"/>
      <c r="I31" s="303"/>
      <c r="J31" s="303"/>
      <c r="K31" s="304"/>
      <c r="L31" s="79"/>
      <c r="M31" s="79"/>
      <c r="N31" s="80"/>
      <c r="AA31" s="437"/>
      <c r="AB31" s="437"/>
      <c r="AC31" s="437"/>
      <c r="AD31" s="437"/>
      <c r="AE31" s="437"/>
      <c r="AF31" s="437"/>
      <c r="AG31" s="437"/>
      <c r="AH31" s="437"/>
      <c r="AI31" s="437"/>
      <c r="AJ31" s="437"/>
      <c r="AK31" s="437"/>
      <c r="AL31" s="437"/>
      <c r="AM31" s="437"/>
    </row>
    <row r="32" spans="2:39" ht="18.75" x14ac:dyDescent="0.3">
      <c r="B32" s="297" t="s">
        <v>130</v>
      </c>
      <c r="C32" s="305"/>
      <c r="D32" s="305"/>
      <c r="E32" s="305"/>
      <c r="F32" s="305"/>
      <c r="G32" s="305"/>
      <c r="H32" s="305"/>
      <c r="I32" s="305"/>
      <c r="J32" s="305"/>
      <c r="K32" s="306"/>
      <c r="L32" s="79"/>
      <c r="M32" s="79"/>
      <c r="N32" s="80"/>
      <c r="AA32" s="437"/>
      <c r="AB32" s="437"/>
      <c r="AC32" s="437"/>
      <c r="AD32" s="437"/>
      <c r="AE32" s="437"/>
      <c r="AF32" s="437"/>
      <c r="AG32" s="437"/>
      <c r="AH32" s="437"/>
      <c r="AI32" s="437"/>
      <c r="AJ32" s="437"/>
      <c r="AK32" s="437"/>
      <c r="AL32" s="437"/>
      <c r="AM32" s="437"/>
    </row>
    <row r="33" spans="2:39" ht="18.75" x14ac:dyDescent="0.3">
      <c r="B33" s="263" t="s">
        <v>85</v>
      </c>
      <c r="C33" s="9"/>
      <c r="D33" s="307" t="s">
        <v>95</v>
      </c>
      <c r="E33" s="9"/>
      <c r="F33" s="307" t="s">
        <v>50</v>
      </c>
      <c r="G33" s="307" t="s">
        <v>48</v>
      </c>
      <c r="H33" s="9"/>
      <c r="I33" s="307" t="s">
        <v>96</v>
      </c>
      <c r="J33" s="9"/>
      <c r="K33" s="307" t="s">
        <v>31</v>
      </c>
      <c r="L33" s="79"/>
      <c r="M33" s="79"/>
      <c r="N33" s="80"/>
      <c r="AA33" s="437">
        <v>1</v>
      </c>
      <c r="AB33" s="437"/>
      <c r="AC33" s="437">
        <v>1</v>
      </c>
      <c r="AD33" s="437"/>
      <c r="AE33" s="437"/>
      <c r="AF33" s="437">
        <v>4</v>
      </c>
      <c r="AG33" s="437"/>
      <c r="AH33" s="437">
        <v>4</v>
      </c>
      <c r="AI33" s="437"/>
      <c r="AJ33" s="437"/>
      <c r="AK33" s="437"/>
      <c r="AL33" s="437"/>
      <c r="AM33" s="437"/>
    </row>
    <row r="34" spans="2:39" ht="18.75" x14ac:dyDescent="0.3">
      <c r="B34" s="280" t="s">
        <v>79</v>
      </c>
      <c r="C34" s="263" t="str">
        <f>IF(C33="","",IF(C33&lt;&gt;AA33,"F","R"))</f>
        <v/>
      </c>
      <c r="D34" s="280"/>
      <c r="E34" s="263" t="str">
        <f>IF(E33="","",IF(E33&lt;&gt;AC33,"F","R"))</f>
        <v/>
      </c>
      <c r="F34" s="263"/>
      <c r="G34" s="263"/>
      <c r="H34" s="263" t="str">
        <f>IF(H33="","",IF(H33&lt;&gt;AF33,"F","R"))</f>
        <v/>
      </c>
      <c r="I34" s="263"/>
      <c r="J34" s="263" t="str">
        <f>IF(J33="","",IF(J33&lt;&gt;AH33,"F","R"))</f>
        <v/>
      </c>
      <c r="K34" s="263"/>
      <c r="L34" s="79"/>
      <c r="M34" s="79"/>
      <c r="N34" s="80"/>
      <c r="AA34" s="437"/>
      <c r="AB34" s="437"/>
      <c r="AC34" s="437"/>
      <c r="AD34" s="437"/>
      <c r="AE34" s="437"/>
      <c r="AF34" s="437"/>
      <c r="AG34" s="437"/>
      <c r="AH34" s="437"/>
      <c r="AI34" s="437"/>
      <c r="AJ34" s="437"/>
      <c r="AK34" s="437"/>
      <c r="AL34" s="437"/>
      <c r="AM34" s="437"/>
    </row>
    <row r="35" spans="2:39" ht="15.75" x14ac:dyDescent="0.25">
      <c r="B35" s="309" t="s">
        <v>82</v>
      </c>
      <c r="C35" s="310" t="str">
        <f>IF(AND(C34="R",E34="R",H34="R",J34="R"),"Flot - det afstemte reaktionsskema er nemlig: C₁₂H₂₂O₁₁ + H₂O ⟶ 4C₂H₆O + 4CO₂       Det er gæring af sukker","Du har endnu ikke afstemt reaktionsskemaet korrekt")</f>
        <v>Du har endnu ikke afstemt reaktionsskemaet korrekt</v>
      </c>
      <c r="D35" s="311"/>
      <c r="E35" s="311"/>
      <c r="F35" s="311"/>
      <c r="G35" s="311"/>
      <c r="H35" s="311"/>
      <c r="I35" s="311"/>
      <c r="J35" s="311"/>
      <c r="K35" s="312"/>
      <c r="L35" s="79"/>
      <c r="M35" s="79"/>
      <c r="N35" s="80"/>
      <c r="AA35" s="437"/>
      <c r="AB35" s="437"/>
      <c r="AC35" s="437"/>
      <c r="AD35" s="437"/>
      <c r="AE35" s="437"/>
      <c r="AF35" s="437"/>
      <c r="AG35" s="437"/>
      <c r="AH35" s="437"/>
      <c r="AI35" s="437"/>
      <c r="AJ35" s="437"/>
      <c r="AK35" s="437"/>
      <c r="AL35" s="437"/>
      <c r="AM35" s="437"/>
    </row>
    <row r="36" spans="2:39" x14ac:dyDescent="0.25">
      <c r="B36" s="78"/>
      <c r="C36" s="79"/>
      <c r="D36" s="79"/>
      <c r="E36" s="79"/>
      <c r="F36" s="79"/>
      <c r="G36" s="79"/>
      <c r="H36" s="79"/>
      <c r="I36" s="79"/>
      <c r="J36" s="79"/>
      <c r="K36" s="79"/>
      <c r="L36" s="79"/>
      <c r="M36" s="79"/>
      <c r="N36" s="80"/>
      <c r="AA36" s="437"/>
      <c r="AB36" s="437"/>
      <c r="AC36" s="437"/>
      <c r="AD36" s="437"/>
      <c r="AE36" s="437"/>
      <c r="AF36" s="437"/>
      <c r="AG36" s="437"/>
      <c r="AH36" s="437"/>
      <c r="AI36" s="437"/>
      <c r="AJ36" s="437"/>
      <c r="AK36" s="437"/>
      <c r="AL36" s="437"/>
      <c r="AM36" s="437"/>
    </row>
    <row r="37" spans="2:39" x14ac:dyDescent="0.25">
      <c r="B37" s="78"/>
      <c r="C37" s="79"/>
      <c r="D37" s="79"/>
      <c r="E37" s="79"/>
      <c r="F37" s="79"/>
      <c r="G37" s="79"/>
      <c r="H37" s="79"/>
      <c r="I37" s="79"/>
      <c r="J37" s="79"/>
      <c r="K37" s="79"/>
      <c r="L37" s="79"/>
      <c r="M37" s="79"/>
      <c r="N37" s="80"/>
      <c r="AA37" s="437"/>
      <c r="AB37" s="437"/>
      <c r="AC37" s="437"/>
      <c r="AD37" s="437"/>
      <c r="AE37" s="437"/>
      <c r="AF37" s="437"/>
      <c r="AG37" s="437"/>
      <c r="AH37" s="437"/>
      <c r="AI37" s="437"/>
      <c r="AJ37" s="437"/>
      <c r="AK37" s="437"/>
      <c r="AL37" s="437"/>
      <c r="AM37" s="437"/>
    </row>
    <row r="38" spans="2:39" x14ac:dyDescent="0.25">
      <c r="B38" s="78"/>
      <c r="C38" s="79"/>
      <c r="D38" s="79"/>
      <c r="E38" s="79"/>
      <c r="F38" s="79"/>
      <c r="G38" s="79"/>
      <c r="H38" s="79"/>
      <c r="I38" s="79"/>
      <c r="J38" s="79"/>
      <c r="K38" s="79"/>
      <c r="L38" s="79"/>
      <c r="M38" s="79"/>
      <c r="N38" s="80"/>
      <c r="AA38" s="437"/>
      <c r="AB38" s="437"/>
      <c r="AC38" s="437"/>
      <c r="AD38" s="437"/>
      <c r="AE38" s="437"/>
      <c r="AF38" s="437"/>
      <c r="AG38" s="437"/>
      <c r="AH38" s="437"/>
      <c r="AI38" s="437"/>
      <c r="AJ38" s="437"/>
      <c r="AK38" s="437"/>
      <c r="AL38" s="437"/>
      <c r="AM38" s="437"/>
    </row>
    <row r="39" spans="2:39" ht="23.25" x14ac:dyDescent="0.35">
      <c r="B39" s="301" t="str">
        <f>IF(AND(C42="R",E42="R",H42="R",J42="R",L42="R"),"Afstemt reaktionsskema 😉","Ikke afstemt reaktionsskema:")</f>
        <v>Ikke afstemt reaktionsskema:</v>
      </c>
      <c r="C39" s="302" t="s">
        <v>92</v>
      </c>
      <c r="D39" s="303"/>
      <c r="E39" s="303"/>
      <c r="F39" s="303"/>
      <c r="G39" s="303"/>
      <c r="H39" s="303"/>
      <c r="I39" s="303" t="s">
        <v>1105</v>
      </c>
      <c r="J39" s="303"/>
      <c r="K39" s="303"/>
      <c r="L39" s="303"/>
      <c r="M39" s="304"/>
      <c r="N39" s="80"/>
      <c r="AA39" s="437"/>
      <c r="AB39" s="437"/>
      <c r="AC39" s="437"/>
      <c r="AD39" s="437"/>
      <c r="AE39" s="437"/>
      <c r="AF39" s="437"/>
      <c r="AG39" s="437"/>
      <c r="AH39" s="437"/>
      <c r="AI39" s="437"/>
      <c r="AJ39" s="437"/>
      <c r="AK39" s="437"/>
      <c r="AL39" s="437"/>
      <c r="AM39" s="437"/>
    </row>
    <row r="40" spans="2:39" ht="18.75" x14ac:dyDescent="0.3">
      <c r="B40" s="297" t="s">
        <v>130</v>
      </c>
      <c r="C40" s="305"/>
      <c r="D40" s="305"/>
      <c r="E40" s="305"/>
      <c r="F40" s="305"/>
      <c r="G40" s="305"/>
      <c r="H40" s="305"/>
      <c r="I40" s="305"/>
      <c r="J40" s="305"/>
      <c r="K40" s="305"/>
      <c r="L40" s="305"/>
      <c r="M40" s="306"/>
      <c r="N40" s="80"/>
      <c r="AA40" s="437"/>
      <c r="AB40" s="437"/>
      <c r="AC40" s="437"/>
      <c r="AD40" s="437"/>
      <c r="AE40" s="437"/>
      <c r="AF40" s="437"/>
      <c r="AG40" s="437"/>
      <c r="AH40" s="437"/>
      <c r="AI40" s="437"/>
      <c r="AJ40" s="437"/>
      <c r="AK40" s="437"/>
      <c r="AL40" s="437"/>
      <c r="AM40" s="437"/>
    </row>
    <row r="41" spans="2:39" ht="18.75" x14ac:dyDescent="0.3">
      <c r="B41" s="263" t="s">
        <v>91</v>
      </c>
      <c r="C41" s="9"/>
      <c r="D41" s="307" t="s">
        <v>93</v>
      </c>
      <c r="E41" s="9"/>
      <c r="F41" s="307" t="s">
        <v>49</v>
      </c>
      <c r="G41" s="307" t="s">
        <v>48</v>
      </c>
      <c r="H41" s="9"/>
      <c r="I41" s="307" t="s">
        <v>80</v>
      </c>
      <c r="J41" s="9"/>
      <c r="K41" s="307" t="s">
        <v>81</v>
      </c>
      <c r="L41" s="9"/>
      <c r="M41" s="308" t="s">
        <v>94</v>
      </c>
      <c r="N41" s="80"/>
      <c r="AA41" s="437">
        <v>4</v>
      </c>
      <c r="AB41" s="437"/>
      <c r="AC41" s="437">
        <v>9</v>
      </c>
      <c r="AD41" s="437"/>
      <c r="AE41" s="437"/>
      <c r="AF41" s="437">
        <v>24</v>
      </c>
      <c r="AG41" s="437"/>
      <c r="AH41" s="437">
        <v>14</v>
      </c>
      <c r="AI41" s="437"/>
      <c r="AJ41" s="437">
        <v>6</v>
      </c>
      <c r="AK41" s="437"/>
      <c r="AL41" s="437"/>
      <c r="AM41" s="437">
        <f>(AA41/AC41/AF41/AH41/AJ41)^-1</f>
        <v>4536</v>
      </c>
    </row>
    <row r="42" spans="2:39" ht="18.75" x14ac:dyDescent="0.3">
      <c r="B42" s="280" t="s">
        <v>79</v>
      </c>
      <c r="C42" s="380" t="str">
        <f>IF(C41="","",IF(C41&lt;&gt;AA41,IF(OR(C41=AA41/2,C41=AA41/4),"Måske","F"),"R"))</f>
        <v/>
      </c>
      <c r="D42" s="280"/>
      <c r="E42" s="380" t="str">
        <f>IF(E41="","",IF(E41&lt;&gt;AC41,IF(OR(E41=AC41/2,E41=AC41/4),"Måske","F"),"R"))</f>
        <v/>
      </c>
      <c r="F42" s="263"/>
      <c r="G42" s="263"/>
      <c r="H42" s="380" t="str">
        <f>IF(H41="","",IF(H41&lt;&gt;AF41,IF(OR(H41=AF41/2,H41=AF41/4),"Måske","F"),"R"))</f>
        <v/>
      </c>
      <c r="I42" s="263"/>
      <c r="J42" s="380" t="str">
        <f>IF(H41="","",IF(J41&lt;&gt;AH41,IF(OR(J41=AH41/2,J41=AH41/4),"Måske","F"),"R"))</f>
        <v/>
      </c>
      <c r="K42" s="263"/>
      <c r="L42" s="380" t="str">
        <f>IF(J41="","",IF(L41&lt;&gt;AJ41,IF(OR(L41=AJ41/2,L41=AJ41/4),"Måske","F"),"R"))</f>
        <v/>
      </c>
      <c r="M42" s="263"/>
      <c r="N42" s="80"/>
      <c r="AA42" s="437"/>
      <c r="AB42" s="437"/>
      <c r="AC42" s="437"/>
      <c r="AD42" s="437"/>
      <c r="AE42" s="437"/>
      <c r="AF42" s="437"/>
      <c r="AG42" s="437"/>
      <c r="AH42" s="437"/>
      <c r="AI42" s="437"/>
      <c r="AJ42" s="437"/>
      <c r="AK42" s="437"/>
      <c r="AL42" s="437"/>
      <c r="AM42" s="437"/>
    </row>
    <row r="43" spans="2:39" ht="15.75" x14ac:dyDescent="0.25">
      <c r="B43" s="309" t="s">
        <v>82</v>
      </c>
      <c r="C43" s="310" t="str">
        <f>IF(AND(C42="Måske",E42="Måske",H42="Måske",J42="Måske",L42="Måske"),"OK - det er måske rigtigt, men du skal gange dine tal op indtil der kun indgår heltal",IF(AND(C42="R",E42="R",H42="R",J42="R",L42="R"),"Flot - det afstemte reaktionsskema er nemlig: 4C₆H₇N₃O₁₁ + 9O₂ ⟶ 24CO₂ + 14H₂O + 6N₂         Det er afbrænding af nitrovat","Du har endnu ikke afstemt reaktionsskemaet korrekt"))</f>
        <v>Du har endnu ikke afstemt reaktionsskemaet korrekt</v>
      </c>
      <c r="D43" s="311"/>
      <c r="E43" s="311"/>
      <c r="F43" s="311"/>
      <c r="G43" s="311"/>
      <c r="H43" s="311"/>
      <c r="I43" s="311"/>
      <c r="J43" s="311"/>
      <c r="K43" s="311"/>
      <c r="L43" s="311"/>
      <c r="M43" s="312"/>
      <c r="N43" s="80"/>
      <c r="AA43" s="437"/>
      <c r="AB43" s="437"/>
      <c r="AC43" s="437"/>
      <c r="AD43" s="437"/>
      <c r="AE43" s="437"/>
      <c r="AF43" s="437"/>
      <c r="AG43" s="437"/>
      <c r="AH43" s="437"/>
      <c r="AI43" s="437"/>
      <c r="AJ43" s="437"/>
      <c r="AK43" s="437"/>
      <c r="AL43" s="437"/>
      <c r="AM43" s="437"/>
    </row>
    <row r="44" spans="2:39" x14ac:dyDescent="0.25">
      <c r="B44" s="78"/>
      <c r="C44" s="79"/>
      <c r="D44" s="79"/>
      <c r="E44" s="79"/>
      <c r="F44" s="79"/>
      <c r="G44" s="79"/>
      <c r="H44" s="79"/>
      <c r="I44" s="79"/>
      <c r="J44" s="79"/>
      <c r="K44" s="79"/>
      <c r="L44" s="79"/>
      <c r="M44" s="79"/>
      <c r="N44" s="80"/>
      <c r="AA44" s="437"/>
      <c r="AB44" s="437"/>
      <c r="AC44" s="437"/>
      <c r="AD44" s="437"/>
      <c r="AE44" s="437"/>
      <c r="AF44" s="437"/>
      <c r="AG44" s="437"/>
      <c r="AH44" s="437"/>
      <c r="AI44" s="437"/>
      <c r="AJ44" s="437"/>
      <c r="AK44" s="437"/>
      <c r="AL44" s="437"/>
      <c r="AM44" s="437"/>
    </row>
    <row r="45" spans="2:39" x14ac:dyDescent="0.25">
      <c r="B45" s="78"/>
      <c r="C45" s="79"/>
      <c r="D45" s="79"/>
      <c r="E45" s="79"/>
      <c r="F45" s="79"/>
      <c r="G45" s="79"/>
      <c r="H45" s="79"/>
      <c r="I45" s="79"/>
      <c r="J45" s="79"/>
      <c r="K45" s="79"/>
      <c r="L45" s="79"/>
      <c r="M45" s="79"/>
      <c r="N45" s="80"/>
      <c r="AA45" s="437"/>
      <c r="AB45" s="437"/>
      <c r="AC45" s="437"/>
      <c r="AD45" s="437"/>
      <c r="AE45" s="437"/>
      <c r="AF45" s="437"/>
      <c r="AG45" s="437"/>
      <c r="AH45" s="437"/>
      <c r="AI45" s="437"/>
      <c r="AJ45" s="437"/>
      <c r="AK45" s="437"/>
      <c r="AL45" s="437"/>
      <c r="AM45" s="437"/>
    </row>
    <row r="46" spans="2:39" x14ac:dyDescent="0.25">
      <c r="B46" s="78"/>
      <c r="C46" s="79"/>
      <c r="D46" s="79"/>
      <c r="E46" s="79"/>
      <c r="F46" s="79"/>
      <c r="G46" s="79"/>
      <c r="H46" s="79"/>
      <c r="I46" s="79"/>
      <c r="J46" s="79"/>
      <c r="K46" s="79"/>
      <c r="L46" s="79"/>
      <c r="M46" s="79"/>
      <c r="N46" s="80"/>
      <c r="AA46" s="437"/>
      <c r="AB46" s="437"/>
      <c r="AC46" s="437"/>
      <c r="AD46" s="437"/>
      <c r="AE46" s="437"/>
      <c r="AF46" s="437"/>
      <c r="AG46" s="437"/>
      <c r="AH46" s="437"/>
      <c r="AI46" s="437"/>
      <c r="AJ46" s="437"/>
      <c r="AK46" s="437"/>
      <c r="AL46" s="437"/>
      <c r="AM46" s="437"/>
    </row>
    <row r="47" spans="2:39" ht="23.25" x14ac:dyDescent="0.35">
      <c r="B47" s="301" t="str">
        <f>IF(AND(C50="R",E50="R",H50="R",J50="R"),"Afstemt reaktionsskema 😉","Ikke afstemt reaktionsskema:")</f>
        <v>Ikke afstemt reaktionsskema:</v>
      </c>
      <c r="C47" s="302" t="s">
        <v>98</v>
      </c>
      <c r="D47" s="303"/>
      <c r="E47" s="303"/>
      <c r="F47" s="303"/>
      <c r="G47" s="303"/>
      <c r="H47" s="303"/>
      <c r="I47" s="303"/>
      <c r="J47" s="303"/>
      <c r="K47" s="304"/>
      <c r="L47" s="79"/>
      <c r="M47" s="79"/>
      <c r="N47" s="80"/>
      <c r="AA47" s="437"/>
      <c r="AB47" s="437"/>
      <c r="AC47" s="437"/>
      <c r="AD47" s="437"/>
      <c r="AE47" s="437"/>
      <c r="AF47" s="437"/>
      <c r="AG47" s="437"/>
      <c r="AH47" s="437"/>
      <c r="AI47" s="437"/>
      <c r="AJ47" s="437"/>
      <c r="AK47" s="437"/>
      <c r="AL47" s="437"/>
      <c r="AM47" s="437"/>
    </row>
    <row r="48" spans="2:39" ht="18.75" x14ac:dyDescent="0.3">
      <c r="B48" s="297" t="s">
        <v>130</v>
      </c>
      <c r="C48" s="305"/>
      <c r="D48" s="305"/>
      <c r="E48" s="305"/>
      <c r="F48" s="305"/>
      <c r="G48" s="305"/>
      <c r="H48" s="305"/>
      <c r="I48" s="305"/>
      <c r="J48" s="305"/>
      <c r="K48" s="306"/>
      <c r="L48" s="79"/>
      <c r="M48" s="79"/>
      <c r="N48" s="80"/>
      <c r="AA48" s="437"/>
      <c r="AB48" s="437"/>
      <c r="AC48" s="437"/>
      <c r="AD48" s="437"/>
      <c r="AE48" s="437"/>
      <c r="AF48" s="437"/>
      <c r="AG48" s="437"/>
      <c r="AH48" s="437"/>
      <c r="AI48" s="437"/>
      <c r="AJ48" s="437"/>
      <c r="AK48" s="437"/>
      <c r="AL48" s="437"/>
      <c r="AM48" s="437"/>
    </row>
    <row r="49" spans="2:39" ht="18.75" x14ac:dyDescent="0.3">
      <c r="B49" s="263" t="s">
        <v>105</v>
      </c>
      <c r="C49" s="9"/>
      <c r="D49" s="307" t="s">
        <v>99</v>
      </c>
      <c r="E49" s="9"/>
      <c r="F49" s="307" t="s">
        <v>49</v>
      </c>
      <c r="G49" s="307" t="s">
        <v>48</v>
      </c>
      <c r="H49" s="9"/>
      <c r="I49" s="307" t="s">
        <v>31</v>
      </c>
      <c r="J49" s="9"/>
      <c r="K49" s="307" t="s">
        <v>50</v>
      </c>
      <c r="L49" s="79"/>
      <c r="M49" s="79"/>
      <c r="N49" s="80"/>
      <c r="AA49" s="437">
        <v>1</v>
      </c>
      <c r="AB49" s="437"/>
      <c r="AC49" s="437">
        <v>11</v>
      </c>
      <c r="AD49" s="437"/>
      <c r="AE49" s="437"/>
      <c r="AF49" s="437">
        <v>7</v>
      </c>
      <c r="AG49" s="437"/>
      <c r="AH49" s="437">
        <v>8</v>
      </c>
      <c r="AI49" s="437"/>
      <c r="AJ49" s="437"/>
      <c r="AK49" s="437"/>
      <c r="AL49" s="437"/>
      <c r="AM49" s="437"/>
    </row>
    <row r="50" spans="2:39" ht="18.75" x14ac:dyDescent="0.3">
      <c r="B50" s="280" t="s">
        <v>79</v>
      </c>
      <c r="C50" s="263" t="str">
        <f>IF(C49="","",IF(C49&lt;&gt;AA49,"F","R"))</f>
        <v/>
      </c>
      <c r="D50" s="280"/>
      <c r="E50" s="263" t="str">
        <f>IF(E49="","",IF(E49&lt;&gt;AC49,"F","R"))</f>
        <v/>
      </c>
      <c r="F50" s="263"/>
      <c r="G50" s="263"/>
      <c r="H50" s="263" t="str">
        <f>IF(H49="","",IF(H49&lt;&gt;AF49,"F","R"))</f>
        <v/>
      </c>
      <c r="I50" s="263"/>
      <c r="J50" s="263" t="str">
        <f>IF(J49="","",IF(J49&lt;&gt;AH49,"F","R"))</f>
        <v/>
      </c>
      <c r="K50" s="263"/>
      <c r="L50" s="79"/>
      <c r="M50" s="79"/>
      <c r="N50" s="80"/>
      <c r="AA50" s="437"/>
      <c r="AB50" s="437"/>
      <c r="AC50" s="437"/>
      <c r="AD50" s="437"/>
      <c r="AE50" s="437"/>
      <c r="AF50" s="437"/>
      <c r="AG50" s="437"/>
      <c r="AH50" s="437"/>
      <c r="AI50" s="437"/>
      <c r="AJ50" s="437"/>
      <c r="AK50" s="437"/>
      <c r="AL50" s="437"/>
      <c r="AM50" s="437"/>
    </row>
    <row r="51" spans="2:39" ht="15.75" x14ac:dyDescent="0.25">
      <c r="B51" s="309" t="s">
        <v>82</v>
      </c>
      <c r="C51" s="310" t="str">
        <f>IF(AND(C50="R",E50="R",H50="R",J50="R"),"Flot - det afstemte reaktionsskema er nemlig: C₇H₁₆ + 11O₂ ⟶ 7CO₂ + 8H₂O  Det er den fuldstændige forbrænding af heptan (fra fx benzin)","Du har endnu ikke afstemt reaktionsskemaet korrekt")</f>
        <v>Du har endnu ikke afstemt reaktionsskemaet korrekt</v>
      </c>
      <c r="D51" s="311"/>
      <c r="E51" s="311"/>
      <c r="F51" s="311"/>
      <c r="G51" s="311"/>
      <c r="H51" s="311"/>
      <c r="I51" s="311"/>
      <c r="J51" s="311"/>
      <c r="K51" s="312"/>
      <c r="L51" s="87"/>
      <c r="M51" s="87"/>
      <c r="N51" s="86"/>
      <c r="AA51" s="437"/>
      <c r="AB51" s="437"/>
      <c r="AC51" s="437"/>
      <c r="AD51" s="437"/>
      <c r="AE51" s="437"/>
      <c r="AF51" s="437"/>
      <c r="AG51" s="437"/>
      <c r="AH51" s="437"/>
      <c r="AI51" s="437"/>
      <c r="AJ51" s="437"/>
      <c r="AK51" s="437"/>
      <c r="AL51" s="437"/>
      <c r="AM51" s="437"/>
    </row>
  </sheetData>
  <sheetProtection algorithmName="SHA-512" hashValue="gLgi7fGsBDhEOu3pTi8wFoCRpjpJgXXvIEKMjk5b4XFvj1A3pD5qadhqUBP43MsE8jEXo14+VcaPZba6SnO/zQ==" saltValue="BAHXUzFCeffBnMqgE6mGnQ==" spinCount="100000" sheet="1" objects="1" scenarios="1" formatColumns="0" formatRows="0"/>
  <mergeCells count="1">
    <mergeCell ref="B2:N2"/>
  </mergeCells>
  <conditionalFormatting sqref="B14:J14 J15:J20 B20:I20">
    <cfRule type="expression" dxfId="586" priority="2">
      <formula>LEN($C$19)&gt;52</formula>
    </cfRule>
  </conditionalFormatting>
  <conditionalFormatting sqref="B22:L22 L23:L28 B28:K28">
    <cfRule type="expression" dxfId="585" priority="3">
      <formula>LEN($C$27)&gt;52</formula>
    </cfRule>
  </conditionalFormatting>
  <conditionalFormatting sqref="B30:L30 L31:L36 B36:K36">
    <cfRule type="expression" dxfId="584" priority="4">
      <formula>LEN($C$35)&gt;52</formula>
    </cfRule>
  </conditionalFormatting>
  <conditionalFormatting sqref="B46:L46 L47:L51">
    <cfRule type="expression" dxfId="583" priority="41">
      <formula>LEN($C$51)&gt;52</formula>
    </cfRule>
  </conditionalFormatting>
  <conditionalFormatting sqref="B6:N6 N7:N12 B12:M12">
    <cfRule type="expression" dxfId="582" priority="1">
      <formula>LEN($C$11)&gt;52</formula>
    </cfRule>
  </conditionalFormatting>
  <conditionalFormatting sqref="B38:N38 N39:N44 B44:M44">
    <cfRule type="expression" dxfId="581" priority="5">
      <formula>LEN($C$43)&gt;52</formula>
    </cfRule>
  </conditionalFormatting>
  <conditionalFormatting sqref="C3 E3 H3">
    <cfRule type="containsText" dxfId="580" priority="12" operator="containsText" text="R">
      <formula>NOT(ISERROR(SEARCH("R",C3)))</formula>
    </cfRule>
    <cfRule type="containsText" dxfId="579" priority="13" operator="containsText" text="F">
      <formula>NOT(ISERROR(SEARCH("F",C3)))</formula>
    </cfRule>
  </conditionalFormatting>
  <conditionalFormatting sqref="C10:M10 C18:I18 C26:K26 C34:K34 C42:M42 C50:K50">
    <cfRule type="containsText" dxfId="578" priority="10" operator="containsText" text="F">
      <formula>NOT(ISERROR(SEARCH("F",C10)))</formula>
    </cfRule>
    <cfRule type="containsText" dxfId="577" priority="11" operator="containsText" text="R">
      <formula>NOT(ISERROR(SEARCH("R",C10)))</formula>
    </cfRule>
  </conditionalFormatting>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923EC-69D1-4C01-9C8F-A31C196C3BD4}">
  <sheetPr codeName="Sheet4">
    <tabColor theme="8" tint="0.39997558519241921"/>
  </sheetPr>
  <dimension ref="B1:AJ49"/>
  <sheetViews>
    <sheetView showGridLines="0" zoomScale="145" zoomScaleNormal="145" workbookViewId="0">
      <selection activeCell="E9" sqref="E9"/>
    </sheetView>
  </sheetViews>
  <sheetFormatPr defaultRowHeight="15" x14ac:dyDescent="0.25"/>
  <cols>
    <col min="2" max="2" width="33.42578125" customWidth="1"/>
    <col min="3" max="3" width="22.140625" customWidth="1"/>
    <col min="6" max="6" width="18.42578125" customWidth="1"/>
    <col min="9" max="9" width="16.140625" customWidth="1"/>
    <col min="10" max="10" width="11.85546875" customWidth="1"/>
    <col min="12" max="12" width="16.140625" customWidth="1"/>
    <col min="20" max="20" width="9.140625" customWidth="1"/>
    <col min="27" max="27" width="12" customWidth="1"/>
  </cols>
  <sheetData>
    <row r="1" spans="2:36" x14ac:dyDescent="0.25">
      <c r="AA1" s="437"/>
      <c r="AB1" s="437"/>
      <c r="AC1" s="437"/>
      <c r="AD1" s="437"/>
      <c r="AE1" s="437"/>
      <c r="AF1" s="437"/>
      <c r="AG1" s="437"/>
      <c r="AH1" s="437"/>
      <c r="AI1" s="437"/>
      <c r="AJ1" s="437"/>
    </row>
    <row r="2" spans="2:36" ht="42" customHeight="1" thickBot="1" x14ac:dyDescent="0.6">
      <c r="B2" s="476" t="s">
        <v>701</v>
      </c>
      <c r="C2" s="477"/>
      <c r="D2" s="477"/>
      <c r="E2" s="477"/>
      <c r="F2" s="477"/>
      <c r="G2" s="477"/>
      <c r="H2" s="477"/>
      <c r="I2" s="477"/>
      <c r="J2" s="477"/>
      <c r="K2" s="477"/>
      <c r="L2" s="477"/>
      <c r="M2" s="477"/>
      <c r="N2" s="478"/>
      <c r="AA2" s="437"/>
      <c r="AB2" s="437"/>
      <c r="AC2" s="437"/>
      <c r="AD2" s="437"/>
      <c r="AE2" s="437"/>
      <c r="AF2" s="437"/>
      <c r="AG2" s="437"/>
      <c r="AH2" s="437"/>
      <c r="AI2" s="437"/>
      <c r="AJ2" s="437"/>
    </row>
    <row r="3" spans="2:36" ht="42" customHeight="1" x14ac:dyDescent="0.25">
      <c r="B3" s="78"/>
      <c r="C3" s="79"/>
      <c r="D3" s="79"/>
      <c r="E3" s="79"/>
      <c r="F3" s="79"/>
      <c r="G3" s="79"/>
      <c r="H3" s="79"/>
      <c r="I3" s="79"/>
      <c r="J3" s="79"/>
      <c r="K3" s="79"/>
      <c r="L3" s="79"/>
      <c r="M3" s="79"/>
      <c r="N3" s="80"/>
      <c r="AA3" s="437"/>
      <c r="AB3" s="437"/>
      <c r="AC3" s="437"/>
      <c r="AD3" s="437"/>
      <c r="AE3" s="437"/>
      <c r="AF3" s="437"/>
      <c r="AG3" s="437"/>
      <c r="AH3" s="437"/>
      <c r="AI3" s="437"/>
      <c r="AJ3" s="437"/>
    </row>
    <row r="4" spans="2:36" ht="27" thickBot="1" x14ac:dyDescent="0.45">
      <c r="B4" s="294" t="s">
        <v>1014</v>
      </c>
      <c r="C4" s="295"/>
      <c r="D4" s="295"/>
      <c r="E4" s="295"/>
      <c r="F4" s="295"/>
      <c r="G4" s="295"/>
      <c r="H4" s="295"/>
      <c r="I4" s="295"/>
      <c r="J4" s="295"/>
      <c r="K4" s="295"/>
      <c r="L4" s="295"/>
      <c r="M4" s="296"/>
      <c r="N4" s="80"/>
      <c r="AA4" s="437"/>
      <c r="AB4" s="437"/>
      <c r="AC4" s="437"/>
      <c r="AD4" s="437"/>
      <c r="AE4" s="437"/>
      <c r="AF4" s="437"/>
      <c r="AG4" s="437"/>
      <c r="AH4" s="437"/>
      <c r="AI4" s="437"/>
      <c r="AJ4" s="437"/>
    </row>
    <row r="5" spans="2:36" ht="18.75" x14ac:dyDescent="0.3">
      <c r="B5" s="297" t="s">
        <v>154</v>
      </c>
      <c r="C5" s="298" t="s">
        <v>195</v>
      </c>
      <c r="D5" s="280" t="s">
        <v>123</v>
      </c>
      <c r="E5" s="79"/>
      <c r="F5" s="298" t="s">
        <v>136</v>
      </c>
      <c r="G5" s="280" t="s">
        <v>123</v>
      </c>
      <c r="H5" s="79"/>
      <c r="I5" s="298" t="s">
        <v>127</v>
      </c>
      <c r="J5" s="280" t="s">
        <v>123</v>
      </c>
      <c r="K5" s="79"/>
      <c r="L5" s="298" t="s">
        <v>139</v>
      </c>
      <c r="M5" s="280" t="s">
        <v>123</v>
      </c>
      <c r="N5" s="80"/>
      <c r="AA5" s="437"/>
      <c r="AB5" s="437"/>
      <c r="AC5" s="437"/>
      <c r="AD5" s="437"/>
      <c r="AE5" s="437"/>
      <c r="AF5" s="437"/>
      <c r="AG5" s="437"/>
      <c r="AH5" s="437"/>
      <c r="AI5" s="437"/>
      <c r="AJ5" s="437"/>
    </row>
    <row r="6" spans="2:36" ht="18.75" x14ac:dyDescent="0.3">
      <c r="B6" s="280" t="s">
        <v>53</v>
      </c>
      <c r="C6" s="12"/>
      <c r="D6" s="263" t="str">
        <f>IF(C6="","",IF(C6&lt;&gt;AA6,"Forkert","Rigtig"))</f>
        <v/>
      </c>
      <c r="E6" s="79"/>
      <c r="F6" s="12"/>
      <c r="G6" s="263" t="str">
        <f>IF(F6="","",IF(F6&lt;&gt;AD6,"Forkert","Rigtig"))</f>
        <v/>
      </c>
      <c r="H6" s="79"/>
      <c r="I6" s="12"/>
      <c r="J6" s="263" t="str">
        <f>IF(I6="","",IF(I6&lt;&gt;AG6,"Forkert","Rigtig"))</f>
        <v/>
      </c>
      <c r="K6" s="79"/>
      <c r="L6" s="12"/>
      <c r="M6" s="263" t="str">
        <f>IF(L6="","",IF(L6&lt;&gt;AJ6,"Forkert","Rigtig"))</f>
        <v/>
      </c>
      <c r="N6" s="80"/>
      <c r="AA6" s="437">
        <v>19</v>
      </c>
      <c r="AB6" s="437"/>
      <c r="AC6" s="437"/>
      <c r="AD6" s="437">
        <v>11</v>
      </c>
      <c r="AE6" s="437"/>
      <c r="AF6" s="437"/>
      <c r="AG6" s="437">
        <v>13</v>
      </c>
      <c r="AH6" s="437"/>
      <c r="AI6" s="437"/>
      <c r="AJ6" s="437">
        <v>20</v>
      </c>
    </row>
    <row r="7" spans="2:36" ht="18.75" x14ac:dyDescent="0.3">
      <c r="B7" s="280" t="s">
        <v>56</v>
      </c>
      <c r="C7" s="13"/>
      <c r="D7" s="263" t="str">
        <f>IF(C7="","",IF(C7&lt;&gt;AA7,"Forkert","Rigtig"))</f>
        <v/>
      </c>
      <c r="E7" s="79"/>
      <c r="F7" s="12"/>
      <c r="G7" s="263" t="str">
        <f>IF(F7="","",IF(F7&lt;&gt;AD7,"Forkert","Rigtig"))</f>
        <v/>
      </c>
      <c r="H7" s="79"/>
      <c r="I7" s="12"/>
      <c r="J7" s="263" t="str">
        <f>IF(I7="","",IF(I7&lt;&gt;AG7,"Forkert","Rigtig"))</f>
        <v/>
      </c>
      <c r="K7" s="79"/>
      <c r="L7" s="12"/>
      <c r="M7" s="263" t="str">
        <f>IF(L7="","",IF(L7&lt;&gt;AJ7,"Forkert","Rigtig"))</f>
        <v/>
      </c>
      <c r="N7" s="80"/>
      <c r="AA7" s="437">
        <v>18</v>
      </c>
      <c r="AB7" s="437"/>
      <c r="AC7" s="437"/>
      <c r="AD7" s="437">
        <v>10</v>
      </c>
      <c r="AE7" s="437"/>
      <c r="AF7" s="437"/>
      <c r="AG7" s="437">
        <v>10</v>
      </c>
      <c r="AH7" s="437"/>
      <c r="AI7" s="437"/>
      <c r="AJ7" s="437">
        <v>18</v>
      </c>
    </row>
    <row r="8" spans="2:36" ht="19.5" thickBot="1" x14ac:dyDescent="0.35">
      <c r="B8" s="280" t="s">
        <v>129</v>
      </c>
      <c r="C8" s="13"/>
      <c r="D8" s="300" t="str">
        <f>IF(C8="","",IF(LEFT(C8,LEN(AA8)-3)&amp;RIGHT(C8,3)=AA8,"Rigtig","forkert"))</f>
        <v/>
      </c>
      <c r="E8" s="79"/>
      <c r="F8" s="12"/>
      <c r="G8" s="300" t="str">
        <f>IF(F8="","",IF(LEFT(F8,LEN(AD8)-3)&amp;RIGHT(F8,3)=AD8,"Rigtig","forkert"))</f>
        <v/>
      </c>
      <c r="H8" s="79"/>
      <c r="I8" s="12"/>
      <c r="J8" s="300" t="str">
        <f>IF(I8="","",IF(LEFT(I8,LEN(AG8)-3)&amp;RIGHT(I8,3)=AG8,"Rigtig","forkert"))</f>
        <v/>
      </c>
      <c r="K8" s="79"/>
      <c r="L8" s="12"/>
      <c r="M8" s="300" t="str">
        <f>IF(L8="","",IF(LEFT(L8,LEN(AJ8)-3)&amp;RIGHT(L8,3)=AJ8,"Rigtig","forkert"))</f>
        <v/>
      </c>
      <c r="N8" s="80"/>
      <c r="AA8" s="437" t="s">
        <v>196</v>
      </c>
      <c r="AB8" s="437"/>
      <c r="AC8" s="437"/>
      <c r="AD8" s="437" t="s">
        <v>137</v>
      </c>
      <c r="AE8" s="437"/>
      <c r="AF8" s="437"/>
      <c r="AG8" s="437" t="s">
        <v>138</v>
      </c>
      <c r="AH8" s="437"/>
      <c r="AI8" s="437"/>
      <c r="AJ8" s="437" t="s">
        <v>140</v>
      </c>
    </row>
    <row r="9" spans="2:36" ht="19.5" thickBot="1" x14ac:dyDescent="0.35">
      <c r="B9" s="299" t="s">
        <v>106</v>
      </c>
      <c r="C9" s="369"/>
      <c r="D9" s="300" t="str">
        <f>IF(C9="","",IF(OR(C9=AA9,MID(C9,2,LEN(AA9))=AA9),"Rigtig","forkert"))</f>
        <v/>
      </c>
      <c r="E9" s="79"/>
      <c r="F9" s="30"/>
      <c r="G9" s="300" t="str">
        <f>IF(F9="","",IF(OR(F9=AD9,MID(F9,2,LEN(AD9))=AD9),"Rigtig","forkert"))</f>
        <v/>
      </c>
      <c r="H9" s="79"/>
      <c r="I9" s="30"/>
      <c r="J9" s="300" t="str">
        <f>IF(I9="","",IF(OR(I9=AG9,MID(I9,2,LEN(AG9))=AG9),"Rigtig","forkert"))</f>
        <v/>
      </c>
      <c r="K9" s="79"/>
      <c r="L9" s="30"/>
      <c r="M9" s="300" t="str">
        <f>IF(L9="","",IF(OR(L9=AJ9,MID(L9,2,LEN(AJ9))=AJ9),"Rigtig","forkert"))</f>
        <v/>
      </c>
      <c r="N9" s="80"/>
      <c r="AA9" s="438" t="s">
        <v>141</v>
      </c>
      <c r="AB9" s="437"/>
      <c r="AC9" s="437"/>
      <c r="AD9" s="438" t="s">
        <v>1021</v>
      </c>
      <c r="AE9" s="437"/>
      <c r="AF9" s="437"/>
      <c r="AG9" s="438" t="s">
        <v>1021</v>
      </c>
      <c r="AH9" s="437"/>
      <c r="AI9" s="437"/>
      <c r="AJ9" s="438" t="s">
        <v>141</v>
      </c>
    </row>
    <row r="10" spans="2:36" x14ac:dyDescent="0.25">
      <c r="B10" s="78"/>
      <c r="C10" s="79"/>
      <c r="D10" s="79"/>
      <c r="E10" s="79"/>
      <c r="F10" s="79"/>
      <c r="G10" s="79"/>
      <c r="H10" s="79"/>
      <c r="I10" s="79"/>
      <c r="J10" s="79"/>
      <c r="K10" s="79"/>
      <c r="L10" s="79"/>
      <c r="M10" s="79"/>
      <c r="N10" s="80"/>
      <c r="AA10" s="437"/>
      <c r="AB10" s="437"/>
      <c r="AC10" s="437"/>
      <c r="AD10" s="437"/>
      <c r="AE10" s="437"/>
      <c r="AF10" s="437"/>
      <c r="AG10" s="437"/>
      <c r="AH10" s="437"/>
      <c r="AI10" s="437"/>
      <c r="AJ10" s="437"/>
    </row>
    <row r="11" spans="2:36" x14ac:dyDescent="0.25">
      <c r="B11" s="78"/>
      <c r="C11" s="79"/>
      <c r="D11" s="79"/>
      <c r="E11" s="79"/>
      <c r="F11" s="79"/>
      <c r="G11" s="79"/>
      <c r="H11" s="79"/>
      <c r="I11" s="79"/>
      <c r="J11" s="79"/>
      <c r="K11" s="79"/>
      <c r="L11" s="79"/>
      <c r="M11" s="79"/>
      <c r="N11" s="80"/>
      <c r="AA11" s="437"/>
      <c r="AB11" s="437"/>
      <c r="AC11" s="437"/>
      <c r="AD11" s="437"/>
      <c r="AE11" s="437"/>
      <c r="AF11" s="437"/>
      <c r="AG11" s="437"/>
      <c r="AH11" s="437"/>
      <c r="AI11" s="437"/>
      <c r="AJ11" s="437"/>
    </row>
    <row r="12" spans="2:36" ht="27" thickBot="1" x14ac:dyDescent="0.45">
      <c r="B12" s="294" t="s">
        <v>1013</v>
      </c>
      <c r="C12" s="295"/>
      <c r="D12" s="295"/>
      <c r="E12" s="295"/>
      <c r="F12" s="295"/>
      <c r="G12" s="295"/>
      <c r="H12" s="295"/>
      <c r="I12" s="295"/>
      <c r="J12" s="295"/>
      <c r="K12" s="295"/>
      <c r="L12" s="295"/>
      <c r="M12" s="296"/>
      <c r="N12" s="80"/>
      <c r="AA12" s="437"/>
      <c r="AB12" s="437"/>
      <c r="AC12" s="437"/>
      <c r="AD12" s="437"/>
      <c r="AE12" s="437"/>
      <c r="AF12" s="437"/>
      <c r="AG12" s="437"/>
      <c r="AH12" s="437"/>
      <c r="AI12" s="437"/>
      <c r="AJ12" s="437"/>
    </row>
    <row r="13" spans="2:36" ht="18.75" x14ac:dyDescent="0.3">
      <c r="B13" s="297" t="s">
        <v>154</v>
      </c>
      <c r="C13" s="280" t="s">
        <v>134</v>
      </c>
      <c r="D13" s="280" t="s">
        <v>123</v>
      </c>
      <c r="E13" s="79"/>
      <c r="F13" s="280" t="s">
        <v>126</v>
      </c>
      <c r="G13" s="280" t="s">
        <v>123</v>
      </c>
      <c r="H13" s="79"/>
      <c r="I13" s="280" t="s">
        <v>133</v>
      </c>
      <c r="J13" s="280" t="s">
        <v>123</v>
      </c>
      <c r="K13" s="79"/>
      <c r="L13" s="280" t="s">
        <v>146</v>
      </c>
      <c r="M13" s="280" t="s">
        <v>123</v>
      </c>
      <c r="N13" s="80"/>
      <c r="AA13" s="437"/>
      <c r="AB13" s="437"/>
      <c r="AC13" s="437"/>
      <c r="AD13" s="437"/>
      <c r="AE13" s="437"/>
      <c r="AF13" s="437"/>
      <c r="AG13" s="437"/>
      <c r="AH13" s="437"/>
      <c r="AI13" s="437"/>
      <c r="AJ13" s="437"/>
    </row>
    <row r="14" spans="2:36" ht="18.75" x14ac:dyDescent="0.3">
      <c r="B14" s="280" t="s">
        <v>53</v>
      </c>
      <c r="C14" s="12"/>
      <c r="D14" s="263" t="str">
        <f>IF(C14="","",IF(C14&lt;&gt;AA14,"Forkert","Rigtig"))</f>
        <v/>
      </c>
      <c r="E14" s="79"/>
      <c r="F14" s="12"/>
      <c r="G14" s="263" t="str">
        <f>IF(F14="","",IF(F14&lt;&gt;AD14,"Forkert","Rigtig"))</f>
        <v/>
      </c>
      <c r="H14" s="79"/>
      <c r="I14" s="12"/>
      <c r="J14" s="263" t="str">
        <f>IF(I14="","",IF(I14&lt;&gt;AG14,"Forkert","Rigtig"))</f>
        <v/>
      </c>
      <c r="K14" s="79"/>
      <c r="L14" s="12"/>
      <c r="M14" s="263" t="str">
        <f>IF(L14="","",IF(L14&lt;&gt;AJ14,"Forkert","Rigtig"))</f>
        <v/>
      </c>
      <c r="N14" s="80"/>
      <c r="AA14" s="437">
        <v>8</v>
      </c>
      <c r="AB14" s="437"/>
      <c r="AC14" s="437"/>
      <c r="AD14" s="437">
        <v>16</v>
      </c>
      <c r="AE14" s="437"/>
      <c r="AF14" s="437"/>
      <c r="AG14" s="437">
        <v>35</v>
      </c>
      <c r="AH14" s="437"/>
      <c r="AI14" s="437"/>
      <c r="AJ14" s="437">
        <v>7</v>
      </c>
    </row>
    <row r="15" spans="2:36" ht="18.75" x14ac:dyDescent="0.3">
      <c r="B15" s="280" t="s">
        <v>56</v>
      </c>
      <c r="C15" s="12"/>
      <c r="D15" s="263" t="str">
        <f>IF(C15="","",IF(C15&lt;&gt;AA15,"Forkert","Rigtig"))</f>
        <v/>
      </c>
      <c r="E15" s="79"/>
      <c r="F15" s="12"/>
      <c r="G15" s="263" t="str">
        <f>IF(F15="","",IF(F15&lt;&gt;AD15,"Forkert","Rigtig"))</f>
        <v/>
      </c>
      <c r="H15" s="79"/>
      <c r="I15" s="12"/>
      <c r="J15" s="263" t="str">
        <f>IF(I15="","",IF(I15&lt;&gt;AG15,"Forkert","Rigtig"))</f>
        <v/>
      </c>
      <c r="K15" s="79"/>
      <c r="L15" s="12"/>
      <c r="M15" s="263" t="str">
        <f>IF(L15="","",IF(L15&lt;&gt;AJ15,"Forkert","Rigtig"))</f>
        <v/>
      </c>
      <c r="N15" s="80"/>
      <c r="AA15" s="437">
        <v>10</v>
      </c>
      <c r="AB15" s="437"/>
      <c r="AC15" s="437"/>
      <c r="AD15" s="437">
        <v>18</v>
      </c>
      <c r="AE15" s="437"/>
      <c r="AF15" s="437"/>
      <c r="AG15" s="437">
        <v>36</v>
      </c>
      <c r="AH15" s="437"/>
      <c r="AI15" s="437"/>
      <c r="AJ15" s="437">
        <v>10</v>
      </c>
    </row>
    <row r="16" spans="2:36" ht="18.75" x14ac:dyDescent="0.3">
      <c r="B16" s="280" t="s">
        <v>129</v>
      </c>
      <c r="C16" s="12"/>
      <c r="D16" s="263" t="str">
        <f>IF(C16="","",IF(C16&lt;&gt;AA16,"Forkert","Rigtig"))</f>
        <v/>
      </c>
      <c r="E16" s="79"/>
      <c r="F16" s="12"/>
      <c r="G16" s="263" t="str">
        <f>IF(F16="","",IF(F16&lt;&gt;AD16,"Forkert","Rigtig"))</f>
        <v/>
      </c>
      <c r="H16" s="79"/>
      <c r="I16" s="12"/>
      <c r="J16" s="263" t="str">
        <f>IF(I16="","",IF(I16&lt;&gt;AG16,"Forkert","Rigtig"))</f>
        <v/>
      </c>
      <c r="K16" s="79"/>
      <c r="L16" s="12"/>
      <c r="M16" s="263" t="str">
        <f>IF(L16="","",IF(L16&lt;&gt;AJ16,"Forkert","Rigtig"))</f>
        <v/>
      </c>
      <c r="N16" s="80"/>
      <c r="AA16" s="437" t="s">
        <v>142</v>
      </c>
      <c r="AB16" s="437"/>
      <c r="AC16" s="437"/>
      <c r="AD16" s="437" t="s">
        <v>143</v>
      </c>
      <c r="AE16" s="437"/>
      <c r="AF16" s="437"/>
      <c r="AG16" s="437" t="s">
        <v>144</v>
      </c>
      <c r="AH16" s="437"/>
      <c r="AI16" s="437"/>
      <c r="AJ16" s="437" t="s">
        <v>147</v>
      </c>
    </row>
    <row r="17" spans="2:36" ht="19.5" thickBot="1" x14ac:dyDescent="0.35">
      <c r="B17" s="299" t="s">
        <v>106</v>
      </c>
      <c r="C17" s="30"/>
      <c r="D17" s="300" t="str">
        <f>IF(C17="","",IF(OR(C17=AA17,MID(C17,2,LEN(AA17))=AA17),"Rigtig","forkert"))</f>
        <v/>
      </c>
      <c r="E17" s="79"/>
      <c r="F17" s="30"/>
      <c r="G17" s="300" t="str">
        <f>IF(F17="","",IF(OR(F17=AD17,MID(F17,2,LEN(AD17))=AD17),"Rigtig","forkert"))</f>
        <v/>
      </c>
      <c r="H17" s="79"/>
      <c r="I17" s="30"/>
      <c r="J17" s="300" t="str">
        <f>IF(I17="","",IF(OR(I17=AG17,MID(I17,2,LEN(AG17))=AG17),"Rigtig","forkert"))</f>
        <v/>
      </c>
      <c r="K17" s="79"/>
      <c r="L17" s="30"/>
      <c r="M17" s="300" t="str">
        <f>IF(L17="","",IF(OR(L17=AJ17,MID(L17,2,LEN(AJ17))=AJ17),"Rigtig","forkert"))</f>
        <v/>
      </c>
      <c r="N17" s="80"/>
      <c r="AA17" s="438" t="s">
        <v>1021</v>
      </c>
      <c r="AB17" s="437"/>
      <c r="AC17" s="437"/>
      <c r="AD17" s="438" t="s">
        <v>141</v>
      </c>
      <c r="AE17" s="437"/>
      <c r="AF17" s="437"/>
      <c r="AG17" s="438" t="s">
        <v>145</v>
      </c>
      <c r="AH17" s="437"/>
      <c r="AI17" s="437"/>
      <c r="AJ17" s="438" t="s">
        <v>1021</v>
      </c>
    </row>
    <row r="18" spans="2:36" x14ac:dyDescent="0.25">
      <c r="B18" s="78"/>
      <c r="C18" s="79"/>
      <c r="D18" s="79"/>
      <c r="E18" s="79"/>
      <c r="F18" s="79"/>
      <c r="G18" s="79"/>
      <c r="H18" s="79"/>
      <c r="I18" s="79"/>
      <c r="J18" s="79"/>
      <c r="K18" s="79"/>
      <c r="L18" s="79"/>
      <c r="M18" s="79"/>
      <c r="N18" s="80"/>
      <c r="AA18" s="437"/>
      <c r="AB18" s="437"/>
      <c r="AC18" s="437"/>
      <c r="AD18" s="437"/>
      <c r="AE18" s="437"/>
      <c r="AF18" s="437"/>
      <c r="AG18" s="437"/>
      <c r="AH18" s="437"/>
      <c r="AI18" s="437"/>
      <c r="AJ18" s="437"/>
    </row>
    <row r="19" spans="2:36" ht="27" thickBot="1" x14ac:dyDescent="0.45">
      <c r="B19" s="294" t="s">
        <v>1015</v>
      </c>
      <c r="C19" s="295"/>
      <c r="D19" s="295"/>
      <c r="E19" s="295"/>
      <c r="F19" s="295"/>
      <c r="G19" s="295"/>
      <c r="H19" s="295"/>
      <c r="I19" s="295"/>
      <c r="J19" s="295"/>
      <c r="K19" s="295"/>
      <c r="L19" s="295"/>
      <c r="M19" s="296"/>
      <c r="N19" s="80"/>
      <c r="AA19" s="437"/>
      <c r="AB19" s="437"/>
      <c r="AC19" s="437"/>
      <c r="AD19" s="437"/>
      <c r="AE19" s="437"/>
      <c r="AF19" s="437"/>
      <c r="AG19" s="437"/>
      <c r="AH19" s="437"/>
      <c r="AI19" s="437"/>
      <c r="AJ19" s="437"/>
    </row>
    <row r="20" spans="2:36" ht="18.75" x14ac:dyDescent="0.3">
      <c r="B20" s="297" t="s">
        <v>154</v>
      </c>
      <c r="C20" s="280" t="s">
        <v>128</v>
      </c>
      <c r="D20" s="280" t="s">
        <v>123</v>
      </c>
      <c r="F20" s="280" t="s">
        <v>135</v>
      </c>
      <c r="G20" s="280" t="s">
        <v>123</v>
      </c>
      <c r="H20" s="79"/>
      <c r="I20" s="280" t="s">
        <v>150</v>
      </c>
      <c r="J20" s="280" t="s">
        <v>123</v>
      </c>
      <c r="K20" s="79"/>
      <c r="L20" s="280" t="s">
        <v>151</v>
      </c>
      <c r="M20" s="280" t="s">
        <v>123</v>
      </c>
      <c r="N20" s="80"/>
      <c r="AA20" s="437"/>
      <c r="AB20" s="437"/>
      <c r="AC20" s="437"/>
      <c r="AD20" s="437"/>
      <c r="AE20" s="437"/>
      <c r="AF20" s="437"/>
      <c r="AG20" s="437"/>
      <c r="AH20" s="437"/>
      <c r="AI20" s="437"/>
      <c r="AJ20" s="437"/>
    </row>
    <row r="21" spans="2:36" ht="18.75" x14ac:dyDescent="0.3">
      <c r="B21" s="280" t="s">
        <v>53</v>
      </c>
      <c r="C21" s="12"/>
      <c r="D21" s="263" t="str">
        <f>IF(C21="","",IF(C21&lt;&gt;AA21,"Forkert","Rigtig"))</f>
        <v/>
      </c>
      <c r="F21" s="12"/>
      <c r="G21" s="263" t="str">
        <f>IF(F21="","",IF(F21&lt;&gt;AD21,"Forkert","Rigtig"))</f>
        <v/>
      </c>
      <c r="H21" s="79"/>
      <c r="I21" s="12"/>
      <c r="J21" s="263" t="str">
        <f>IF(I21="","",IF(I21&lt;&gt;AG21,"Forkert","Rigtig"))</f>
        <v/>
      </c>
      <c r="K21" s="79"/>
      <c r="L21" s="12"/>
      <c r="M21" s="263" t="str">
        <f>IF(L21="","",IF(L21&lt;&gt;AJ21,"Forkert","Rigtig"))</f>
        <v/>
      </c>
      <c r="N21" s="80"/>
      <c r="AA21" s="437">
        <v>26</v>
      </c>
      <c r="AB21" s="437"/>
      <c r="AC21" s="437"/>
      <c r="AD21" s="437">
        <v>82</v>
      </c>
      <c r="AE21" s="437"/>
      <c r="AF21" s="437"/>
      <c r="AG21" s="437">
        <v>29</v>
      </c>
      <c r="AH21" s="437"/>
      <c r="AI21" s="437"/>
      <c r="AJ21" s="437">
        <v>47</v>
      </c>
    </row>
    <row r="22" spans="2:36" ht="18.75" x14ac:dyDescent="0.3">
      <c r="B22" s="280" t="s">
        <v>56</v>
      </c>
      <c r="C22" s="12"/>
      <c r="D22" s="263" t="str">
        <f>IF(C22="","",IF(C22&lt;&gt;AA22,"Forkert","Rigtig"))</f>
        <v/>
      </c>
      <c r="F22" s="12"/>
      <c r="G22" s="263" t="str">
        <f>IF(F22="","",IF(F22&lt;&gt;AD22,"Forkert","Rigtig"))</f>
        <v/>
      </c>
      <c r="H22" s="79"/>
      <c r="I22" s="12"/>
      <c r="J22" s="263" t="str">
        <f>IF(I22="","",IF(I22&lt;&gt;AG22,"Forkert","Rigtig"))</f>
        <v/>
      </c>
      <c r="K22" s="79"/>
      <c r="L22" s="12"/>
      <c r="M22" s="263" t="str">
        <f>IF(L22="","",IF(L22&lt;&gt;AJ22,"Forkert","Rigtig"))</f>
        <v/>
      </c>
      <c r="N22" s="80"/>
      <c r="AA22" s="437">
        <v>23</v>
      </c>
      <c r="AB22" s="437"/>
      <c r="AC22" s="437"/>
      <c r="AD22" s="437">
        <v>80</v>
      </c>
      <c r="AE22" s="437"/>
      <c r="AF22" s="437"/>
      <c r="AG22" s="437">
        <v>27</v>
      </c>
      <c r="AH22" s="437"/>
      <c r="AI22" s="437"/>
      <c r="AJ22" s="437">
        <v>46</v>
      </c>
    </row>
    <row r="23" spans="2:36" ht="19.5" thickBot="1" x14ac:dyDescent="0.35">
      <c r="B23" s="299" t="s">
        <v>197</v>
      </c>
      <c r="C23" s="16"/>
      <c r="D23" s="300" t="str">
        <f>IF(C23="","",IF(LEFT(C23,LEN(AA23)-3)&amp;RIGHT(C23,3)=AA23,"Rigtig","forkert"))</f>
        <v/>
      </c>
      <c r="F23" s="16"/>
      <c r="G23" s="300" t="str">
        <f>IF(F23="","",IF(LEFT(F23,LEN(AD23)-3)&amp;RIGHT(F23,3)=AD23,"Rigtig","forkert"))</f>
        <v/>
      </c>
      <c r="H23" s="79"/>
      <c r="I23" s="16"/>
      <c r="J23" s="300" t="str">
        <f>IF(I23="","",IF(LEFT(I23,LEN(AG23)-3)&amp;RIGHT(I23,3)=AG23,"Rigtig","forkert"))</f>
        <v/>
      </c>
      <c r="K23" s="79"/>
      <c r="L23" s="16"/>
      <c r="M23" s="300" t="str">
        <f>IF(L23="","",IF(LEFT(L23,LEN(AJ23)-3)&amp;RIGHT(L23,3)=AJ23,"Rigtig","forkert"))</f>
        <v/>
      </c>
      <c r="N23" s="80"/>
      <c r="AA23" s="437" t="s">
        <v>148</v>
      </c>
      <c r="AB23" s="437"/>
      <c r="AC23" s="437"/>
      <c r="AD23" s="437" t="s">
        <v>149</v>
      </c>
      <c r="AE23" s="437"/>
      <c r="AF23" s="437"/>
      <c r="AG23" s="437" t="s">
        <v>153</v>
      </c>
      <c r="AH23" s="437"/>
      <c r="AI23" s="437"/>
      <c r="AJ23" s="437" t="s">
        <v>152</v>
      </c>
    </row>
    <row r="24" spans="2:36" ht="48.75" customHeight="1" x14ac:dyDescent="0.25">
      <c r="B24" s="78"/>
      <c r="C24" s="79"/>
      <c r="D24" s="79"/>
      <c r="E24" s="79"/>
      <c r="F24" s="79"/>
      <c r="G24" s="79"/>
      <c r="H24" s="79"/>
      <c r="I24" s="79"/>
      <c r="J24" s="79"/>
      <c r="K24" s="79"/>
      <c r="L24" s="479" t="str">
        <f>IF(M23="rigtig","OBS: Ag⁺ har altid ladningen 1+, og kan derfor både navngives som sølv(I)ion - men også bare sølvion","")</f>
        <v/>
      </c>
      <c r="M24" s="479"/>
      <c r="N24" s="480"/>
      <c r="AA24" s="437"/>
      <c r="AB24" s="437"/>
      <c r="AC24" s="437"/>
      <c r="AD24" s="437"/>
      <c r="AE24" s="437"/>
      <c r="AF24" s="437"/>
      <c r="AG24" s="437"/>
      <c r="AH24" s="437"/>
      <c r="AI24" s="437"/>
      <c r="AJ24" s="437"/>
    </row>
    <row r="25" spans="2:36" ht="27" thickBot="1" x14ac:dyDescent="0.45">
      <c r="B25" s="294" t="s">
        <v>132</v>
      </c>
      <c r="C25" s="295"/>
      <c r="D25" s="296"/>
      <c r="E25" s="79"/>
      <c r="F25" s="79"/>
      <c r="G25" s="79"/>
      <c r="H25" s="79"/>
      <c r="I25" s="79"/>
      <c r="J25" s="79"/>
      <c r="K25" s="79"/>
      <c r="L25" s="79"/>
      <c r="M25" s="79"/>
      <c r="N25" s="80"/>
      <c r="AA25" s="437"/>
      <c r="AB25" s="437"/>
      <c r="AC25" s="437"/>
      <c r="AD25" s="437"/>
      <c r="AE25" s="437"/>
      <c r="AF25" s="437"/>
      <c r="AG25" s="437"/>
      <c r="AH25" s="437"/>
      <c r="AI25" s="437"/>
      <c r="AJ25" s="437"/>
    </row>
    <row r="26" spans="2:36" ht="18.75" x14ac:dyDescent="0.3">
      <c r="B26" s="297" t="s">
        <v>155</v>
      </c>
      <c r="C26" s="280" t="s">
        <v>131</v>
      </c>
      <c r="D26" s="280" t="s">
        <v>123</v>
      </c>
      <c r="E26" s="79"/>
      <c r="F26" s="79"/>
      <c r="G26" s="79"/>
      <c r="H26" s="79"/>
      <c r="I26" s="79"/>
      <c r="J26" s="79"/>
      <c r="K26" s="79"/>
      <c r="L26" s="79"/>
      <c r="M26" s="79"/>
      <c r="N26" s="80"/>
      <c r="AA26" s="437"/>
      <c r="AB26" s="437"/>
      <c r="AC26" s="437"/>
      <c r="AD26" s="437"/>
      <c r="AE26" s="437"/>
      <c r="AF26" s="437"/>
      <c r="AG26" s="437"/>
      <c r="AH26" s="437"/>
      <c r="AI26" s="437"/>
      <c r="AJ26" s="437"/>
    </row>
    <row r="27" spans="2:36" ht="18.75" x14ac:dyDescent="0.3">
      <c r="B27" s="280" t="s">
        <v>156</v>
      </c>
      <c r="C27" s="12"/>
      <c r="D27" s="263" t="str">
        <f>IF(C27="","",IF(LEFT(C27,LEN(AA27))=AA27,"Rigtig","Forkert"))</f>
        <v/>
      </c>
      <c r="E27" s="79"/>
      <c r="F27" s="79"/>
      <c r="G27" s="79"/>
      <c r="H27" s="79"/>
      <c r="I27" s="79"/>
      <c r="J27" s="79"/>
      <c r="K27" s="79"/>
      <c r="L27" s="79"/>
      <c r="M27" s="79"/>
      <c r="N27" s="80"/>
      <c r="AA27" s="437" t="s">
        <v>162</v>
      </c>
      <c r="AB27" s="437"/>
      <c r="AC27" s="437"/>
      <c r="AD27" s="437"/>
      <c r="AE27" s="437"/>
      <c r="AF27" s="437"/>
      <c r="AG27" s="437"/>
      <c r="AH27" s="437"/>
      <c r="AI27" s="437"/>
      <c r="AJ27" s="437"/>
    </row>
    <row r="28" spans="2:36" ht="18.75" x14ac:dyDescent="0.3">
      <c r="B28" s="280" t="s">
        <v>157</v>
      </c>
      <c r="C28" s="12"/>
      <c r="D28" s="263" t="str">
        <f t="shared" ref="D28:D32" si="0">IF(C28="","",IF(LEFT(C28,LEN(AA28))=AA28,"Rigtig","Forkert"))</f>
        <v/>
      </c>
      <c r="E28" s="79"/>
      <c r="F28" s="79"/>
      <c r="G28" s="79"/>
      <c r="H28" s="79"/>
      <c r="I28" s="79"/>
      <c r="J28" s="79"/>
      <c r="K28" s="79"/>
      <c r="L28" s="79"/>
      <c r="M28" s="79"/>
      <c r="N28" s="80"/>
      <c r="AA28" s="437" t="s">
        <v>163</v>
      </c>
      <c r="AB28" s="437"/>
      <c r="AC28" s="437"/>
      <c r="AD28" s="437"/>
      <c r="AE28" s="437"/>
      <c r="AF28" s="437"/>
      <c r="AG28" s="437"/>
      <c r="AH28" s="437"/>
      <c r="AI28" s="437"/>
      <c r="AJ28" s="437"/>
    </row>
    <row r="29" spans="2:36" ht="18.75" x14ac:dyDescent="0.3">
      <c r="B29" s="280" t="s">
        <v>158</v>
      </c>
      <c r="C29" s="12"/>
      <c r="D29" s="263" t="str">
        <f t="shared" si="0"/>
        <v/>
      </c>
      <c r="E29" s="79"/>
      <c r="F29" s="79"/>
      <c r="G29" s="79"/>
      <c r="H29" s="79"/>
      <c r="I29" s="79"/>
      <c r="J29" s="79"/>
      <c r="K29" s="79"/>
      <c r="L29" s="79"/>
      <c r="M29" s="79"/>
      <c r="N29" s="80"/>
      <c r="AA29" s="437" t="s">
        <v>164</v>
      </c>
      <c r="AB29" s="437"/>
      <c r="AC29" s="437"/>
      <c r="AD29" s="437"/>
      <c r="AE29" s="437"/>
      <c r="AF29" s="437"/>
      <c r="AG29" s="437"/>
      <c r="AH29" s="437"/>
      <c r="AI29" s="437"/>
      <c r="AJ29" s="437"/>
    </row>
    <row r="30" spans="2:36" ht="18.75" x14ac:dyDescent="0.3">
      <c r="B30" s="280" t="s">
        <v>159</v>
      </c>
      <c r="C30" s="12"/>
      <c r="D30" s="263" t="str">
        <f t="shared" si="0"/>
        <v/>
      </c>
      <c r="E30" s="79"/>
      <c r="F30" s="79"/>
      <c r="G30" s="79"/>
      <c r="H30" s="79"/>
      <c r="I30" s="79"/>
      <c r="J30" s="79"/>
      <c r="K30" s="79"/>
      <c r="L30" s="79"/>
      <c r="M30" s="79"/>
      <c r="N30" s="80"/>
      <c r="AA30" s="437" t="s">
        <v>165</v>
      </c>
      <c r="AB30" s="437"/>
      <c r="AC30" s="437"/>
      <c r="AD30" s="437"/>
      <c r="AE30" s="437"/>
      <c r="AF30" s="437"/>
      <c r="AG30" s="437"/>
      <c r="AH30" s="437"/>
      <c r="AI30" s="437"/>
      <c r="AJ30" s="437"/>
    </row>
    <row r="31" spans="2:36" ht="18.75" x14ac:dyDescent="0.3">
      <c r="B31" s="280" t="s">
        <v>160</v>
      </c>
      <c r="C31" s="12"/>
      <c r="D31" s="263" t="str">
        <f t="shared" si="0"/>
        <v/>
      </c>
      <c r="E31" s="79"/>
      <c r="F31" s="79"/>
      <c r="G31" s="79"/>
      <c r="H31" s="79"/>
      <c r="I31" s="79"/>
      <c r="J31" s="79"/>
      <c r="K31" s="79"/>
      <c r="L31" s="79"/>
      <c r="M31" s="79"/>
      <c r="N31" s="80"/>
      <c r="AA31" s="437" t="s">
        <v>166</v>
      </c>
      <c r="AB31" s="437"/>
      <c r="AC31" s="437"/>
      <c r="AD31" s="437"/>
      <c r="AE31" s="437"/>
      <c r="AF31" s="437"/>
      <c r="AG31" s="437"/>
      <c r="AH31" s="437"/>
      <c r="AI31" s="437"/>
      <c r="AJ31" s="437"/>
    </row>
    <row r="32" spans="2:36" ht="19.5" thickBot="1" x14ac:dyDescent="0.35">
      <c r="B32" s="299" t="s">
        <v>161</v>
      </c>
      <c r="C32" s="16"/>
      <c r="D32" s="263" t="str">
        <f t="shared" si="0"/>
        <v/>
      </c>
      <c r="E32" s="79" t="str">
        <f>IF(LEFT(C32,3)="fos","I kemi fortrækker vi at der skrives 'ph' i stedet for 'f'","")</f>
        <v/>
      </c>
      <c r="F32" s="79"/>
      <c r="G32" s="79"/>
      <c r="H32" s="79"/>
      <c r="I32" s="79"/>
      <c r="J32" s="79"/>
      <c r="K32" s="79"/>
      <c r="L32" s="79"/>
      <c r="M32" s="79"/>
      <c r="N32" s="80"/>
      <c r="AA32" s="437" t="s">
        <v>167</v>
      </c>
      <c r="AB32" s="437"/>
      <c r="AC32" s="437"/>
      <c r="AD32" s="437"/>
      <c r="AE32" s="437"/>
      <c r="AF32" s="437"/>
      <c r="AG32" s="437"/>
      <c r="AH32" s="437"/>
      <c r="AI32" s="437"/>
      <c r="AJ32" s="437"/>
    </row>
    <row r="33" spans="2:36" x14ac:dyDescent="0.25">
      <c r="N33" s="18"/>
      <c r="AA33" s="437"/>
      <c r="AB33" s="437"/>
      <c r="AC33" s="437"/>
      <c r="AD33" s="437"/>
      <c r="AE33" s="437"/>
      <c r="AF33" s="437"/>
      <c r="AG33" s="437"/>
      <c r="AH33" s="437"/>
      <c r="AI33" s="437"/>
      <c r="AJ33" s="437"/>
    </row>
    <row r="34" spans="2:36" ht="27" thickBot="1" x14ac:dyDescent="0.45">
      <c r="B34" s="294" t="s">
        <v>168</v>
      </c>
      <c r="C34" s="295"/>
      <c r="D34" s="296"/>
      <c r="E34" s="79"/>
      <c r="F34" s="79"/>
      <c r="G34" s="79"/>
      <c r="H34" s="79"/>
      <c r="I34" s="79"/>
      <c r="J34" s="79"/>
      <c r="K34" s="79"/>
      <c r="L34" s="79"/>
      <c r="M34" s="79"/>
      <c r="N34" s="80"/>
      <c r="AA34" s="437"/>
      <c r="AB34" s="437"/>
      <c r="AC34" s="437"/>
      <c r="AD34" s="437"/>
      <c r="AE34" s="437"/>
      <c r="AF34" s="437"/>
      <c r="AG34" s="437"/>
      <c r="AH34" s="437"/>
      <c r="AI34" s="437"/>
      <c r="AJ34" s="437"/>
    </row>
    <row r="35" spans="2:36" ht="18.75" x14ac:dyDescent="0.3">
      <c r="B35" s="297" t="s">
        <v>155</v>
      </c>
      <c r="C35" s="280" t="s">
        <v>131</v>
      </c>
      <c r="D35" s="280" t="s">
        <v>123</v>
      </c>
      <c r="E35" s="79"/>
      <c r="F35" s="79"/>
      <c r="G35" s="79"/>
      <c r="H35" s="79"/>
      <c r="I35" s="79"/>
      <c r="J35" s="79"/>
      <c r="K35" s="79"/>
      <c r="L35" s="79"/>
      <c r="M35" s="79"/>
      <c r="N35" s="80"/>
      <c r="AA35" s="437"/>
      <c r="AB35" s="437"/>
      <c r="AC35" s="437"/>
      <c r="AD35" s="437"/>
      <c r="AE35" s="437"/>
      <c r="AF35" s="437"/>
      <c r="AG35" s="437"/>
      <c r="AH35" s="437"/>
      <c r="AI35" s="437"/>
      <c r="AJ35" s="437"/>
    </row>
    <row r="36" spans="2:36" ht="18.75" x14ac:dyDescent="0.3">
      <c r="B36" s="280" t="s">
        <v>169</v>
      </c>
      <c r="C36" s="12"/>
      <c r="D36" s="263" t="str">
        <f>IF(C36="","",IF(OR(C36=AA36,C36=AB36),"Rigtig","Forkert"))</f>
        <v/>
      </c>
      <c r="E36" s="79"/>
      <c r="F36" s="79"/>
      <c r="G36" s="79"/>
      <c r="H36" s="79"/>
      <c r="I36" s="79"/>
      <c r="J36" s="79"/>
      <c r="K36" s="79"/>
      <c r="L36" s="79"/>
      <c r="M36" s="79"/>
      <c r="N36" s="80"/>
      <c r="AA36" s="437" t="s">
        <v>1023</v>
      </c>
      <c r="AB36" s="437" t="s">
        <v>198</v>
      </c>
      <c r="AC36" s="437"/>
      <c r="AD36" s="437"/>
      <c r="AE36" s="437"/>
      <c r="AF36" s="437"/>
      <c r="AG36" s="437"/>
      <c r="AH36" s="437"/>
      <c r="AI36" s="437"/>
      <c r="AJ36" s="437"/>
    </row>
    <row r="37" spans="2:36" ht="18.75" x14ac:dyDescent="0.3">
      <c r="B37" s="280" t="s">
        <v>170</v>
      </c>
      <c r="C37" s="12"/>
      <c r="D37" s="263" t="str">
        <f t="shared" ref="D37:D49" si="1">IF(C37="","",IF(OR(C37=AA37,C37=AB37),"Rigtig","Forkert"))</f>
        <v/>
      </c>
      <c r="E37" s="79"/>
      <c r="F37" s="79"/>
      <c r="G37" s="79"/>
      <c r="H37" s="79"/>
      <c r="I37" s="79"/>
      <c r="J37" s="79"/>
      <c r="K37" s="79"/>
      <c r="L37" s="79"/>
      <c r="M37" s="79"/>
      <c r="N37" s="80"/>
      <c r="AA37" s="437" t="s">
        <v>183</v>
      </c>
      <c r="AB37" s="437" t="s">
        <v>750</v>
      </c>
      <c r="AC37" s="437"/>
      <c r="AD37" s="437"/>
      <c r="AE37" s="437"/>
      <c r="AF37" s="437"/>
      <c r="AG37" s="437"/>
      <c r="AH37" s="437"/>
      <c r="AI37" s="437"/>
      <c r="AJ37" s="437"/>
    </row>
    <row r="38" spans="2:36" ht="18.75" x14ac:dyDescent="0.3">
      <c r="B38" s="280" t="s">
        <v>171</v>
      </c>
      <c r="C38" s="12"/>
      <c r="D38" s="263" t="str">
        <f t="shared" si="1"/>
        <v/>
      </c>
      <c r="E38" s="79"/>
      <c r="F38" s="79"/>
      <c r="G38" s="79"/>
      <c r="H38" s="79"/>
      <c r="I38" s="79"/>
      <c r="J38" s="79"/>
      <c r="K38" s="79"/>
      <c r="L38" s="79"/>
      <c r="M38" s="79"/>
      <c r="N38" s="80"/>
      <c r="AA38" s="437" t="s">
        <v>184</v>
      </c>
      <c r="AB38" s="437" t="s">
        <v>750</v>
      </c>
      <c r="AC38" s="437"/>
      <c r="AD38" s="437"/>
      <c r="AE38" s="437"/>
      <c r="AF38" s="437"/>
      <c r="AG38" s="437"/>
      <c r="AH38" s="437"/>
      <c r="AI38" s="437"/>
      <c r="AJ38" s="437"/>
    </row>
    <row r="39" spans="2:36" ht="18.75" x14ac:dyDescent="0.3">
      <c r="B39" s="280" t="s">
        <v>172</v>
      </c>
      <c r="C39" s="12"/>
      <c r="D39" s="263" t="str">
        <f t="shared" si="1"/>
        <v/>
      </c>
      <c r="E39" s="79"/>
      <c r="F39" s="79"/>
      <c r="G39" s="79"/>
      <c r="H39" s="79"/>
      <c r="I39" s="79"/>
      <c r="J39" s="79"/>
      <c r="K39" s="79"/>
      <c r="L39" s="79"/>
      <c r="M39" s="79"/>
      <c r="N39" s="80"/>
      <c r="AA39" s="437" t="s">
        <v>185</v>
      </c>
      <c r="AB39" s="437" t="s">
        <v>750</v>
      </c>
      <c r="AC39" s="437"/>
      <c r="AD39" s="437"/>
      <c r="AE39" s="437"/>
      <c r="AF39" s="437"/>
      <c r="AG39" s="437"/>
      <c r="AH39" s="437"/>
      <c r="AI39" s="437"/>
      <c r="AJ39" s="437"/>
    </row>
    <row r="40" spans="2:36" ht="18.75" x14ac:dyDescent="0.3">
      <c r="B40" s="280" t="s">
        <v>173</v>
      </c>
      <c r="C40" s="12"/>
      <c r="D40" s="263" t="str">
        <f t="shared" si="1"/>
        <v/>
      </c>
      <c r="E40" s="79"/>
      <c r="F40" s="79"/>
      <c r="G40" s="79"/>
      <c r="H40" s="79"/>
      <c r="I40" s="79"/>
      <c r="J40" s="79"/>
      <c r="K40" s="79"/>
      <c r="L40" s="79"/>
      <c r="M40" s="79"/>
      <c r="N40" s="80"/>
      <c r="AA40" s="437" t="s">
        <v>186</v>
      </c>
      <c r="AB40" s="437" t="s">
        <v>750</v>
      </c>
      <c r="AC40" s="437"/>
      <c r="AD40" s="437"/>
      <c r="AE40" s="437"/>
      <c r="AF40" s="437"/>
      <c r="AG40" s="437"/>
      <c r="AH40" s="437"/>
      <c r="AI40" s="437"/>
      <c r="AJ40" s="437"/>
    </row>
    <row r="41" spans="2:36" ht="18.75" x14ac:dyDescent="0.3">
      <c r="B41" s="280" t="s">
        <v>174</v>
      </c>
      <c r="C41" s="12"/>
      <c r="D41" s="263" t="str">
        <f t="shared" si="1"/>
        <v/>
      </c>
      <c r="E41" s="79"/>
      <c r="F41" s="79"/>
      <c r="G41" s="79"/>
      <c r="H41" s="79"/>
      <c r="I41" s="79"/>
      <c r="J41" s="79"/>
      <c r="K41" s="79"/>
      <c r="L41" s="79"/>
      <c r="M41" s="79"/>
      <c r="N41" s="80"/>
      <c r="AA41" s="437" t="s">
        <v>187</v>
      </c>
      <c r="AB41" s="437" t="s">
        <v>750</v>
      </c>
      <c r="AC41" s="437"/>
      <c r="AD41" s="437"/>
      <c r="AE41" s="437"/>
      <c r="AF41" s="437"/>
      <c r="AG41" s="437"/>
      <c r="AH41" s="437"/>
      <c r="AI41" s="437"/>
      <c r="AJ41" s="437"/>
    </row>
    <row r="42" spans="2:36" ht="18.75" x14ac:dyDescent="0.3">
      <c r="B42" s="280" t="s">
        <v>175</v>
      </c>
      <c r="C42" s="12"/>
      <c r="D42" s="263" t="str">
        <f t="shared" si="1"/>
        <v/>
      </c>
      <c r="E42" s="79"/>
      <c r="F42" s="79"/>
      <c r="G42" s="79"/>
      <c r="H42" s="79"/>
      <c r="I42" s="79"/>
      <c r="J42" s="79"/>
      <c r="K42" s="79"/>
      <c r="L42" s="79"/>
      <c r="M42" s="79"/>
      <c r="N42" s="80"/>
      <c r="AA42" s="437" t="s">
        <v>1022</v>
      </c>
      <c r="AB42" s="437" t="s">
        <v>1069</v>
      </c>
      <c r="AC42" s="437"/>
      <c r="AD42" s="437"/>
      <c r="AE42" s="437"/>
      <c r="AF42" s="437"/>
      <c r="AG42" s="437"/>
      <c r="AH42" s="437"/>
      <c r="AI42" s="437"/>
      <c r="AJ42" s="437"/>
    </row>
    <row r="43" spans="2:36" ht="18.75" x14ac:dyDescent="0.3">
      <c r="B43" s="280" t="s">
        <v>176</v>
      </c>
      <c r="C43" s="12"/>
      <c r="D43" s="263" t="str">
        <f t="shared" si="1"/>
        <v/>
      </c>
      <c r="E43" s="79"/>
      <c r="F43" s="79"/>
      <c r="G43" s="79"/>
      <c r="H43" s="79"/>
      <c r="I43" s="79"/>
      <c r="J43" s="79"/>
      <c r="K43" s="79"/>
      <c r="L43" s="79"/>
      <c r="M43" s="79"/>
      <c r="N43" s="80"/>
      <c r="AA43" s="437" t="s">
        <v>188</v>
      </c>
      <c r="AB43" s="437" t="s">
        <v>750</v>
      </c>
      <c r="AC43" s="437"/>
      <c r="AD43" s="437"/>
      <c r="AE43" s="437"/>
      <c r="AF43" s="437"/>
      <c r="AG43" s="437"/>
      <c r="AH43" s="437"/>
      <c r="AI43" s="437"/>
      <c r="AJ43" s="437"/>
    </row>
    <row r="44" spans="2:36" ht="18.75" x14ac:dyDescent="0.3">
      <c r="B44" s="280" t="s">
        <v>177</v>
      </c>
      <c r="C44" s="12"/>
      <c r="D44" s="263" t="str">
        <f t="shared" si="1"/>
        <v/>
      </c>
      <c r="E44" s="79"/>
      <c r="F44" s="79"/>
      <c r="G44" s="79"/>
      <c r="H44" s="79"/>
      <c r="I44" s="79"/>
      <c r="J44" s="79"/>
      <c r="K44" s="79"/>
      <c r="L44" s="79"/>
      <c r="M44" s="79"/>
      <c r="N44" s="80"/>
      <c r="AA44" s="437" t="s">
        <v>189</v>
      </c>
      <c r="AB44" s="437" t="s">
        <v>750</v>
      </c>
      <c r="AC44" s="437"/>
      <c r="AD44" s="437"/>
      <c r="AE44" s="437"/>
      <c r="AF44" s="437"/>
      <c r="AG44" s="437"/>
      <c r="AH44" s="437"/>
      <c r="AI44" s="437"/>
      <c r="AJ44" s="437"/>
    </row>
    <row r="45" spans="2:36" ht="18.75" x14ac:dyDescent="0.3">
      <c r="B45" s="280" t="s">
        <v>178</v>
      </c>
      <c r="C45" s="12"/>
      <c r="D45" s="263" t="str">
        <f t="shared" si="1"/>
        <v/>
      </c>
      <c r="E45" s="79"/>
      <c r="F45" s="79"/>
      <c r="G45" s="79"/>
      <c r="H45" s="79"/>
      <c r="I45" s="79"/>
      <c r="J45" s="79"/>
      <c r="K45" s="79"/>
      <c r="L45" s="79"/>
      <c r="M45" s="79"/>
      <c r="N45" s="80"/>
      <c r="AA45" s="437" t="s">
        <v>190</v>
      </c>
      <c r="AB45" s="437" t="s">
        <v>750</v>
      </c>
      <c r="AC45" s="437"/>
      <c r="AD45" s="437"/>
      <c r="AE45" s="437"/>
      <c r="AF45" s="437"/>
      <c r="AG45" s="437"/>
      <c r="AH45" s="437"/>
      <c r="AI45" s="437"/>
      <c r="AJ45" s="437"/>
    </row>
    <row r="46" spans="2:36" ht="18.75" x14ac:dyDescent="0.3">
      <c r="B46" s="280" t="s">
        <v>179</v>
      </c>
      <c r="C46" s="12"/>
      <c r="D46" s="263" t="str">
        <f t="shared" si="1"/>
        <v/>
      </c>
      <c r="E46" s="79"/>
      <c r="F46" s="79"/>
      <c r="G46" s="79"/>
      <c r="H46" s="79"/>
      <c r="I46" s="79"/>
      <c r="J46" s="79"/>
      <c r="K46" s="79"/>
      <c r="L46" s="79"/>
      <c r="M46" s="79"/>
      <c r="N46" s="80"/>
      <c r="AA46" s="437" t="s">
        <v>191</v>
      </c>
      <c r="AB46" s="437" t="s">
        <v>750</v>
      </c>
      <c r="AC46" s="437"/>
      <c r="AD46" s="437"/>
      <c r="AE46" s="437"/>
      <c r="AF46" s="437"/>
      <c r="AG46" s="437"/>
      <c r="AH46" s="437"/>
      <c r="AI46" s="437"/>
      <c r="AJ46" s="437"/>
    </row>
    <row r="47" spans="2:36" ht="18.75" x14ac:dyDescent="0.3">
      <c r="B47" s="280" t="s">
        <v>180</v>
      </c>
      <c r="C47" s="12"/>
      <c r="D47" s="263" t="str">
        <f t="shared" si="1"/>
        <v/>
      </c>
      <c r="E47" s="79"/>
      <c r="F47" s="79"/>
      <c r="G47" s="79"/>
      <c r="H47" s="79"/>
      <c r="I47" s="79"/>
      <c r="J47" s="79"/>
      <c r="K47" s="79"/>
      <c r="L47" s="79"/>
      <c r="M47" s="79"/>
      <c r="N47" s="80"/>
      <c r="AA47" s="437" t="s">
        <v>192</v>
      </c>
      <c r="AB47" s="437" t="s">
        <v>750</v>
      </c>
      <c r="AC47" s="437"/>
      <c r="AD47" s="437"/>
      <c r="AE47" s="437"/>
      <c r="AF47" s="437"/>
      <c r="AG47" s="437"/>
      <c r="AH47" s="437"/>
      <c r="AI47" s="437"/>
      <c r="AJ47" s="437"/>
    </row>
    <row r="48" spans="2:36" ht="18.75" x14ac:dyDescent="0.3">
      <c r="B48" s="280" t="s">
        <v>181</v>
      </c>
      <c r="C48" s="12"/>
      <c r="D48" s="263" t="str">
        <f t="shared" si="1"/>
        <v/>
      </c>
      <c r="E48" s="79"/>
      <c r="F48" s="79"/>
      <c r="G48" s="79"/>
      <c r="H48" s="79"/>
      <c r="I48" s="79"/>
      <c r="J48" s="79"/>
      <c r="K48" s="79"/>
      <c r="L48" s="79"/>
      <c r="M48" s="79"/>
      <c r="N48" s="80"/>
      <c r="AA48" s="437" t="s">
        <v>193</v>
      </c>
      <c r="AB48" s="437" t="s">
        <v>750</v>
      </c>
      <c r="AC48" s="437"/>
      <c r="AD48" s="437"/>
      <c r="AE48" s="437"/>
      <c r="AF48" s="437"/>
      <c r="AG48" s="437"/>
      <c r="AH48" s="437"/>
      <c r="AI48" s="437"/>
      <c r="AJ48" s="437"/>
    </row>
    <row r="49" spans="2:36" ht="18.75" x14ac:dyDescent="0.3">
      <c r="B49" s="280" t="s">
        <v>182</v>
      </c>
      <c r="C49" s="12"/>
      <c r="D49" s="263" t="str">
        <f t="shared" si="1"/>
        <v/>
      </c>
      <c r="E49" s="87"/>
      <c r="F49" s="87"/>
      <c r="G49" s="87"/>
      <c r="H49" s="87"/>
      <c r="I49" s="87"/>
      <c r="J49" s="87"/>
      <c r="K49" s="87"/>
      <c r="L49" s="87"/>
      <c r="M49" s="87"/>
      <c r="N49" s="86"/>
      <c r="AA49" s="437" t="s">
        <v>194</v>
      </c>
      <c r="AB49" s="437" t="s">
        <v>750</v>
      </c>
      <c r="AC49" s="437"/>
      <c r="AD49" s="437"/>
      <c r="AE49" s="437"/>
      <c r="AF49" s="437"/>
      <c r="AG49" s="437"/>
      <c r="AH49" s="437"/>
      <c r="AI49" s="437"/>
      <c r="AJ49" s="437"/>
    </row>
  </sheetData>
  <sheetProtection algorithmName="SHA-512" hashValue="aKtjztKDK0mYFvnc8Mhggd/GROvmWDCmfNEsMtDwY5SoyDbP5dPV2mUCb6i+fTyZfIwG0cqOyu7DxukrI77m+w==" saltValue="89WqFbJlVa7Bkm/D3K38ng==" spinCount="100000" sheet="1" objects="1" scenarios="1" formatColumns="0" formatRows="0"/>
  <mergeCells count="2">
    <mergeCell ref="B2:N2"/>
    <mergeCell ref="L24:N24"/>
  </mergeCells>
  <conditionalFormatting sqref="B3">
    <cfRule type="expression" dxfId="576" priority="30">
      <formula>"if(and($C$5:$C$8;$F$5:$F$8;$I$5:$I$8;$L$5:$L$8;$L$13:$L$16;$L$20:$L$22;$I$13:$I$16;$F$13:$F$16;$C$13:$C$16;$C$20:$C$22;$C$22;$F$20:$F$22;$I$20:$I$22;$L$20:$L$22;$C$26:$C$31;$C$35:$C$48)=""Rigtig"")"</formula>
    </cfRule>
  </conditionalFormatting>
  <conditionalFormatting sqref="B3:N3 N4:N23 E5:E9 H5:H9 K5:K9 B10:M11 E13:E17 H13:H17 K13:K17 B18:M18 E20:E23 H20:H23 K20:K23 B24:L24 E25:N49 B33:D33">
    <cfRule type="expression" dxfId="575" priority="29">
      <formula>AND("rigtig"=$D$6:$D$9,"rigtig"=$G$6:$G$9,"rigtig"=$J$6:$J$9,"rigtig"=$M$6:$M$9,"rigtig"=$M$14:$M$17,"rigtig"=$J$14:$J$17,"rigtig"=$G$14:$G$17,"rigtig"=$D$14:$D$17,"rigtig"=$D$21:$D$23,"rigtig"=$G$21:$G$23,"rigtig"=$J$21:$J$23,"rigtig"=$M$21:$M$23,"rigtig"=$D$27:$D$32,"rigtig"=$D$36:$D$49)</formula>
    </cfRule>
  </conditionalFormatting>
  <conditionalFormatting sqref="D6:D9 G6:G9 J6:J9 D14:D17 G14:G17 J14:J17 D21:D23 G21:G23 J21:J23">
    <cfRule type="containsText" dxfId="574" priority="63" operator="containsText" text="Rigtig">
      <formula>NOT(ISERROR(SEARCH("Rigtig",D6)))</formula>
    </cfRule>
    <cfRule type="containsText" dxfId="573" priority="64" operator="containsText" text="Forkert">
      <formula>NOT(ISERROR(SEARCH("Forkert",D6)))</formula>
    </cfRule>
  </conditionalFormatting>
  <conditionalFormatting sqref="D27:D32">
    <cfRule type="containsText" dxfId="572" priority="33" operator="containsText" text="Rigtig">
      <formula>NOT(ISERROR(SEARCH("Rigtig",D27)))</formula>
    </cfRule>
    <cfRule type="containsText" dxfId="571" priority="34" operator="containsText" text="Forkert">
      <formula>NOT(ISERROR(SEARCH("Forkert",D27)))</formula>
    </cfRule>
  </conditionalFormatting>
  <conditionalFormatting sqref="D36:D49">
    <cfRule type="containsText" dxfId="570" priority="13" operator="containsText" text="Rigtig">
      <formula>NOT(ISERROR(SEARCH("Rigtig",D36)))</formula>
    </cfRule>
    <cfRule type="containsText" dxfId="569" priority="14" operator="containsText" text="Forkert">
      <formula>NOT(ISERROR(SEARCH("Forkert",D36)))</formula>
    </cfRule>
  </conditionalFormatting>
  <conditionalFormatting sqref="M6:M9">
    <cfRule type="containsText" dxfId="568" priority="3" operator="containsText" text="Rigtig">
      <formula>NOT(ISERROR(SEARCH("Rigtig",M6)))</formula>
    </cfRule>
    <cfRule type="containsText" dxfId="567" priority="4" operator="containsText" text="Forkert">
      <formula>NOT(ISERROR(SEARCH("Forkert",M6)))</formula>
    </cfRule>
  </conditionalFormatting>
  <conditionalFormatting sqref="M14:M17">
    <cfRule type="containsText" dxfId="566" priority="17" operator="containsText" text="Rigtig">
      <formula>NOT(ISERROR(SEARCH("Rigtig",M14)))</formula>
    </cfRule>
    <cfRule type="containsText" dxfId="565" priority="18" operator="containsText" text="Forkert">
      <formula>NOT(ISERROR(SEARCH("Forkert",M14)))</formula>
    </cfRule>
  </conditionalFormatting>
  <conditionalFormatting sqref="M21:M23">
    <cfRule type="containsText" dxfId="564" priority="1" operator="containsText" text="Rigtig">
      <formula>NOT(ISERROR(SEARCH("Rigtig",M21)))</formula>
    </cfRule>
    <cfRule type="containsText" dxfId="563" priority="2" operator="containsText" text="Forkert">
      <formula>NOT(ISERROR(SEARCH("Forkert",M21)))</formula>
    </cfRule>
  </conditionalFormatting>
  <pageMargins left="0.7" right="0.7" top="0.75" bottom="0.75"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565A1-BDDF-4DE8-8E40-DA20D9AEFB63}">
  <sheetPr codeName="Sheet5">
    <tabColor theme="8" tint="0.39997558519241921"/>
  </sheetPr>
  <dimension ref="A1:AK330"/>
  <sheetViews>
    <sheetView showGridLines="0" zoomScale="145" zoomScaleNormal="145" workbookViewId="0"/>
  </sheetViews>
  <sheetFormatPr defaultRowHeight="15" x14ac:dyDescent="0.25"/>
  <cols>
    <col min="2" max="2" width="25.28515625" customWidth="1"/>
    <col min="3" max="3" width="17.7109375" customWidth="1"/>
    <col min="4" max="4" width="18.42578125" customWidth="1"/>
    <col min="5" max="5" width="9.42578125" customWidth="1"/>
    <col min="6" max="6" width="32" customWidth="1"/>
    <col min="7" max="7" width="17.42578125" customWidth="1"/>
    <col min="8" max="8" width="18.85546875" customWidth="1"/>
    <col min="9" max="9" width="20.42578125" customWidth="1"/>
    <col min="10" max="10" width="14.140625" customWidth="1"/>
    <col min="11" max="11" width="23" customWidth="1"/>
    <col min="12" max="12" width="15.42578125" customWidth="1"/>
    <col min="27" max="27" width="10.42578125" customWidth="1"/>
    <col min="28" max="28" width="11.85546875" customWidth="1"/>
    <col min="30" max="30" width="18.7109375" customWidth="1"/>
    <col min="33" max="33" width="10.85546875" customWidth="1"/>
    <col min="34" max="34" width="12.85546875" customWidth="1"/>
    <col min="36" max="36" width="12" customWidth="1"/>
  </cols>
  <sheetData>
    <row r="1" spans="2:37" x14ac:dyDescent="0.25">
      <c r="C1" s="28"/>
      <c r="D1" s="28"/>
      <c r="E1" s="28"/>
      <c r="F1" s="28"/>
      <c r="G1" s="28"/>
      <c r="H1" s="28"/>
      <c r="I1" s="28"/>
      <c r="J1" s="28"/>
      <c r="M1" s="11"/>
      <c r="Y1" s="11"/>
      <c r="AA1" s="437"/>
      <c r="AB1" s="437"/>
      <c r="AC1" s="437"/>
      <c r="AD1" s="437"/>
      <c r="AE1" s="437"/>
      <c r="AF1" s="437"/>
      <c r="AG1" s="437"/>
      <c r="AH1" s="437"/>
      <c r="AI1" s="437"/>
      <c r="AJ1" s="437"/>
      <c r="AK1" s="437"/>
    </row>
    <row r="2" spans="2:37" ht="36" x14ac:dyDescent="0.55000000000000004">
      <c r="B2" s="260" t="s">
        <v>699</v>
      </c>
      <c r="C2" s="261"/>
      <c r="D2" s="261"/>
      <c r="E2" s="261"/>
      <c r="F2" s="261"/>
      <c r="G2" s="261"/>
      <c r="H2" s="261"/>
      <c r="I2" s="261"/>
      <c r="J2" s="261"/>
      <c r="K2" s="262"/>
      <c r="M2" s="11"/>
      <c r="V2" s="4"/>
      <c r="W2" s="4"/>
      <c r="X2" s="4"/>
      <c r="Y2" s="4"/>
      <c r="Z2" s="4"/>
      <c r="AA2" s="4"/>
      <c r="AB2" s="4"/>
      <c r="AC2" s="4"/>
      <c r="AD2" s="4"/>
      <c r="AE2" s="437"/>
      <c r="AF2" s="437"/>
      <c r="AG2" s="437"/>
      <c r="AH2" s="437"/>
      <c r="AI2" s="437"/>
      <c r="AJ2" s="437"/>
      <c r="AK2" s="437"/>
    </row>
    <row r="3" spans="2:37" x14ac:dyDescent="0.25">
      <c r="B3" s="26" t="s">
        <v>0</v>
      </c>
      <c r="C3" s="49"/>
      <c r="D3" s="48" t="s">
        <v>1</v>
      </c>
      <c r="E3" s="49"/>
      <c r="F3" s="370" t="s">
        <v>1107</v>
      </c>
      <c r="G3" s="36"/>
      <c r="H3" s="49"/>
      <c r="I3" s="49"/>
      <c r="J3" s="49"/>
      <c r="K3" s="213"/>
      <c r="M3" s="11"/>
      <c r="V3" s="4"/>
      <c r="W3" s="4"/>
      <c r="X3" s="4"/>
      <c r="Y3" s="4"/>
      <c r="Z3" s="4"/>
      <c r="AA3" s="4"/>
      <c r="AB3" s="4"/>
      <c r="AC3" s="4"/>
      <c r="AD3" s="4"/>
      <c r="AE3" s="437"/>
      <c r="AF3" s="437"/>
      <c r="AG3" s="437"/>
      <c r="AH3" s="437"/>
      <c r="AI3" s="437"/>
      <c r="AJ3" s="437" t="s">
        <v>288</v>
      </c>
      <c r="AK3" s="437" t="b">
        <f>AND(J8="R",J9="R")</f>
        <v>0</v>
      </c>
    </row>
    <row r="4" spans="2:37" ht="28.5" x14ac:dyDescent="0.45">
      <c r="B4" s="89" t="s">
        <v>278</v>
      </c>
      <c r="C4" s="90"/>
      <c r="D4" s="90"/>
      <c r="E4" s="90"/>
      <c r="F4" s="90"/>
      <c r="G4" s="90"/>
      <c r="H4" s="90"/>
      <c r="I4" s="90"/>
      <c r="J4" s="90"/>
      <c r="K4" s="85"/>
      <c r="M4" s="11"/>
      <c r="V4" s="4"/>
      <c r="W4" s="4"/>
      <c r="X4" s="4"/>
      <c r="Y4" s="4"/>
      <c r="Z4" s="4"/>
      <c r="AA4" s="4"/>
      <c r="AB4" s="4"/>
      <c r="AC4" s="4"/>
      <c r="AD4" s="4"/>
      <c r="AE4" s="437"/>
      <c r="AF4" s="437"/>
      <c r="AG4" s="437"/>
      <c r="AH4" s="437"/>
      <c r="AI4" s="437"/>
      <c r="AJ4" s="437" t="s">
        <v>289</v>
      </c>
      <c r="AK4" s="437" t="b">
        <f>AND(E8="R",E9="R")</f>
        <v>0</v>
      </c>
    </row>
    <row r="5" spans="2:37" ht="21" x14ac:dyDescent="0.35">
      <c r="B5" s="91" t="s">
        <v>1099</v>
      </c>
      <c r="C5" s="92"/>
      <c r="D5" s="92"/>
      <c r="E5" s="92"/>
      <c r="F5" s="92"/>
      <c r="G5" s="92"/>
      <c r="H5" s="92"/>
      <c r="I5" s="92"/>
      <c r="J5" s="92"/>
      <c r="K5" s="80"/>
      <c r="M5" s="11"/>
      <c r="V5" s="4"/>
      <c r="W5" s="4"/>
      <c r="X5" s="4"/>
      <c r="Y5" s="4"/>
      <c r="Z5" s="4"/>
      <c r="AA5" s="4"/>
      <c r="AB5" s="4"/>
      <c r="AC5" s="4"/>
      <c r="AD5" s="4"/>
      <c r="AE5" s="437"/>
      <c r="AF5" s="437"/>
      <c r="AG5" s="437"/>
      <c r="AH5" s="437"/>
      <c r="AI5" s="437"/>
      <c r="AJ5" s="437" t="s">
        <v>287</v>
      </c>
      <c r="AK5" s="437" t="b" cm="1">
        <f t="array" ref="AK5">AND(E8:E10="R",J8:J10="R")</f>
        <v>0</v>
      </c>
    </row>
    <row r="6" spans="2:37" x14ac:dyDescent="0.25">
      <c r="B6" s="78"/>
      <c r="C6" s="92"/>
      <c r="D6" s="92"/>
      <c r="E6" s="92"/>
      <c r="F6" s="92"/>
      <c r="G6" s="92"/>
      <c r="H6" s="92"/>
      <c r="I6" s="92"/>
      <c r="J6" s="92"/>
      <c r="K6" s="80"/>
      <c r="M6" s="11"/>
      <c r="V6" s="4"/>
      <c r="W6" s="4"/>
      <c r="X6" s="4"/>
      <c r="Y6" s="4"/>
      <c r="Z6" s="4"/>
      <c r="AA6" s="4"/>
      <c r="AB6" s="4"/>
      <c r="AC6" s="4"/>
      <c r="AD6" s="4"/>
      <c r="AE6" s="437"/>
      <c r="AF6" s="437"/>
      <c r="AG6" s="437"/>
      <c r="AH6" s="437"/>
      <c r="AI6" s="437"/>
      <c r="AJ6" s="437" t="s">
        <v>290</v>
      </c>
      <c r="AK6" s="437" t="b" cm="1">
        <f t="array" ref="AK6">AND(E15:E16="R",G15:G16="R")</f>
        <v>0</v>
      </c>
    </row>
    <row r="7" spans="2:37" ht="18.75" x14ac:dyDescent="0.3">
      <c r="B7" s="263" t="s">
        <v>225</v>
      </c>
      <c r="C7" s="264" t="s">
        <v>257</v>
      </c>
      <c r="D7" s="264" t="s">
        <v>263</v>
      </c>
      <c r="E7" s="264" t="s">
        <v>123</v>
      </c>
      <c r="F7" s="92"/>
      <c r="G7" s="265" t="s">
        <v>225</v>
      </c>
      <c r="H7" s="264" t="s">
        <v>270</v>
      </c>
      <c r="I7" s="264" t="s">
        <v>263</v>
      </c>
      <c r="J7" s="264" t="s">
        <v>123</v>
      </c>
      <c r="K7" s="80"/>
      <c r="M7" s="11"/>
      <c r="V7" s="4"/>
      <c r="W7" s="4"/>
      <c r="X7" s="4"/>
      <c r="Y7" s="4"/>
      <c r="Z7" s="4"/>
      <c r="AA7" s="4"/>
      <c r="AB7" s="4"/>
      <c r="AC7" s="4"/>
      <c r="AD7" s="4"/>
      <c r="AE7" s="437"/>
      <c r="AF7" s="437"/>
      <c r="AG7" s="437"/>
      <c r="AH7" s="437"/>
      <c r="AI7" s="437"/>
      <c r="AJ7" s="437" t="s">
        <v>291</v>
      </c>
      <c r="AK7" s="437" t="b" cm="1">
        <f t="array" ref="AK7">AND(E15:E16="R")</f>
        <v>0</v>
      </c>
    </row>
    <row r="8" spans="2:37" ht="18.75" x14ac:dyDescent="0.3">
      <c r="B8" s="266" t="s">
        <v>281</v>
      </c>
      <c r="C8" s="12"/>
      <c r="D8" s="264" t="str">
        <f>IF(E8="R",AB8,"")</f>
        <v/>
      </c>
      <c r="E8" s="265" t="str">
        <f>IF(OR(TRIM(C8)=AA8,TRIM(C8)=AB8),"R",IF(C8="","","F"))</f>
        <v/>
      </c>
      <c r="F8" s="92"/>
      <c r="G8" s="264" t="s">
        <v>258</v>
      </c>
      <c r="H8" s="12"/>
      <c r="I8" s="264" t="str">
        <f>IF(J8="R",AH8,"")</f>
        <v/>
      </c>
      <c r="J8" s="265" t="str">
        <f>IF(OR(TRIM(H8)=AG8,TRIM(H8)=AH8),"R",IF(H8="","","F"))</f>
        <v/>
      </c>
      <c r="K8" s="80"/>
      <c r="M8" s="11"/>
      <c r="V8" s="4"/>
      <c r="W8" s="3"/>
      <c r="X8" s="3"/>
      <c r="Y8" s="3"/>
      <c r="Z8" s="3"/>
      <c r="AA8" s="3" t="s">
        <v>261</v>
      </c>
      <c r="AB8" s="3" t="s">
        <v>260</v>
      </c>
      <c r="AC8" s="3"/>
      <c r="AD8" s="3"/>
      <c r="AE8" s="3"/>
      <c r="AF8" s="3"/>
      <c r="AG8" s="3" t="s">
        <v>267</v>
      </c>
      <c r="AH8" s="437" t="s">
        <v>160</v>
      </c>
      <c r="AI8" s="437"/>
      <c r="AJ8" s="437" t="s">
        <v>292</v>
      </c>
      <c r="AK8" s="437" t="b">
        <f>AND(C20="R",E20="R",H20="R",J20="R")</f>
        <v>0</v>
      </c>
    </row>
    <row r="9" spans="2:37" ht="18.75" x14ac:dyDescent="0.3">
      <c r="B9" s="266" t="s">
        <v>282</v>
      </c>
      <c r="C9" s="12"/>
      <c r="D9" s="264" t="str">
        <f>IF(E9="R",AB9,"")</f>
        <v/>
      </c>
      <c r="E9" s="265" t="str">
        <f>IF(OR(TRIM(C9)=AA9,TRIM(C9)=AB9),"R",IF(C9="","","F"))</f>
        <v/>
      </c>
      <c r="F9" s="92"/>
      <c r="G9" s="264" t="s">
        <v>259</v>
      </c>
      <c r="H9" s="12"/>
      <c r="I9" s="264" t="str">
        <f>IF(J9="R",AH9,"")</f>
        <v/>
      </c>
      <c r="J9" s="265" t="str">
        <f>IF(OR(TRIM(H9)=AG9,TRIM(H9)=AH9),"R",IF(H9="","","F"))</f>
        <v/>
      </c>
      <c r="K9" s="80"/>
      <c r="M9" s="11"/>
      <c r="V9" s="4"/>
      <c r="W9" s="3"/>
      <c r="X9" s="3"/>
      <c r="Y9" s="3"/>
      <c r="Z9" s="3"/>
      <c r="AA9" s="3" t="s">
        <v>262</v>
      </c>
      <c r="AB9" s="3" t="s">
        <v>157</v>
      </c>
      <c r="AC9" s="3"/>
      <c r="AD9" s="3"/>
      <c r="AE9" s="3"/>
      <c r="AF9" s="3"/>
      <c r="AG9" s="3" t="s">
        <v>268</v>
      </c>
      <c r="AH9" s="437" t="s">
        <v>158</v>
      </c>
      <c r="AI9" s="437"/>
      <c r="AJ9" s="437"/>
      <c r="AK9" s="437"/>
    </row>
    <row r="10" spans="2:37" ht="18.75" x14ac:dyDescent="0.3">
      <c r="B10" s="266" t="s">
        <v>265</v>
      </c>
      <c r="C10" s="267"/>
      <c r="D10" s="264" t="str">
        <f>IF(E10="R",AB10,"")</f>
        <v/>
      </c>
      <c r="E10" s="265" t="str">
        <f>IF(OR(TRIM(C10)=AA10,TRIM(C10)=AB10),"R",IF(C10="","","F"))</f>
        <v/>
      </c>
      <c r="F10" s="92"/>
      <c r="G10" s="264" t="s">
        <v>264</v>
      </c>
      <c r="H10" s="267"/>
      <c r="I10" s="264" t="str">
        <f>IF(J10="R",AH10,"")</f>
        <v/>
      </c>
      <c r="J10" s="265" t="str">
        <f>IF(OR(TRIM(H10)=AG10,TRIM(H10)=AH10),"R",IF(H10="","","F"))</f>
        <v/>
      </c>
      <c r="K10" s="80"/>
      <c r="M10" s="11"/>
      <c r="V10" s="4"/>
      <c r="W10" s="3"/>
      <c r="X10" s="3"/>
      <c r="Y10" s="3"/>
      <c r="Z10" s="3"/>
      <c r="AA10" s="3" t="s">
        <v>266</v>
      </c>
      <c r="AB10" s="3" t="s">
        <v>271</v>
      </c>
      <c r="AC10" s="3"/>
      <c r="AD10" s="3"/>
      <c r="AE10" s="3"/>
      <c r="AF10" s="3"/>
      <c r="AG10" s="3" t="s">
        <v>269</v>
      </c>
      <c r="AH10" s="437" t="s">
        <v>173</v>
      </c>
      <c r="AI10" s="437"/>
      <c r="AJ10" s="437"/>
      <c r="AK10" s="437"/>
    </row>
    <row r="11" spans="2:37" x14ac:dyDescent="0.25">
      <c r="B11" s="78"/>
      <c r="C11" s="92"/>
      <c r="D11" s="92"/>
      <c r="E11" s="92"/>
      <c r="F11" s="92"/>
      <c r="G11" s="92"/>
      <c r="H11" s="92" t="str">
        <f>IF(H10="nh42co3","du skal skrive paranteser rundt om sammensatte ioner, når der er flere end en", "")</f>
        <v/>
      </c>
      <c r="I11" s="92"/>
      <c r="J11" s="92"/>
      <c r="K11" s="80"/>
      <c r="M11" s="11"/>
      <c r="V11" s="4"/>
      <c r="W11" s="3"/>
      <c r="X11" s="3"/>
      <c r="Y11" s="3"/>
      <c r="Z11" s="3"/>
      <c r="AA11" s="3"/>
      <c r="AB11" s="3"/>
      <c r="AC11" s="3"/>
      <c r="AD11" s="3"/>
      <c r="AE11" s="3"/>
      <c r="AF11" s="3"/>
      <c r="AG11" s="3"/>
      <c r="AH11" s="437"/>
      <c r="AI11" s="437"/>
      <c r="AJ11" s="437"/>
      <c r="AK11" s="437"/>
    </row>
    <row r="12" spans="2:37" x14ac:dyDescent="0.25">
      <c r="B12" s="78" t="str" cm="1">
        <f t="array" ref="B12">IF(AND(E8:E10="R",J8:J10="R"),"","Udfyld ovenstående lyseblå felter, inden du går videre")</f>
        <v>Udfyld ovenstående lyseblå felter, inden du går videre</v>
      </c>
      <c r="C12" s="92"/>
      <c r="D12" s="92"/>
      <c r="E12" s="92"/>
      <c r="F12" s="92"/>
      <c r="G12" s="92"/>
      <c r="H12" s="92"/>
      <c r="I12" s="92"/>
      <c r="J12" s="92"/>
      <c r="K12" s="80"/>
      <c r="M12" s="11"/>
      <c r="V12" s="4"/>
      <c r="W12" s="3"/>
      <c r="X12" s="3"/>
      <c r="Y12" s="3"/>
      <c r="Z12" s="3"/>
      <c r="AA12" s="3"/>
      <c r="AB12" s="3"/>
      <c r="AC12" s="3"/>
      <c r="AD12" s="3"/>
      <c r="AE12" s="3"/>
      <c r="AF12" s="3"/>
      <c r="AG12" s="3"/>
      <c r="AH12" s="437"/>
      <c r="AI12" s="437"/>
      <c r="AJ12" s="437"/>
      <c r="AK12" s="437"/>
    </row>
    <row r="13" spans="2:37" ht="28.5" x14ac:dyDescent="0.45">
      <c r="B13" s="93" t="str" cm="1">
        <f t="array" ref="B13">IF(AND(E15:E16="R",G15:G16="R"),"",IF(AND(E8:E10="R",J8:J10="R"),"Godt! - Sammensæt nu opløsningens ioner, således du danner 2 nye neutrale ionforbindelser",""))</f>
        <v/>
      </c>
      <c r="C13" s="92"/>
      <c r="D13" s="92"/>
      <c r="E13" s="92"/>
      <c r="F13" s="92"/>
      <c r="G13" s="92"/>
      <c r="H13" s="92"/>
      <c r="I13" s="92"/>
      <c r="J13" s="92"/>
      <c r="K13" s="80"/>
      <c r="M13" s="11"/>
      <c r="V13" s="4"/>
      <c r="W13" s="3"/>
      <c r="X13" s="3"/>
      <c r="Y13" s="3"/>
      <c r="Z13" s="3"/>
      <c r="AA13" s="3"/>
      <c r="AB13" s="3"/>
      <c r="AC13" s="3"/>
      <c r="AD13" s="3"/>
      <c r="AE13" s="3"/>
      <c r="AF13" s="3"/>
      <c r="AG13" s="3"/>
      <c r="AH13" s="437"/>
      <c r="AI13" s="437"/>
      <c r="AJ13" s="437"/>
      <c r="AK13" s="437"/>
    </row>
    <row r="14" spans="2:37" ht="18.75" x14ac:dyDescent="0.3">
      <c r="B14" s="263" t="s">
        <v>1027</v>
      </c>
      <c r="C14" s="264" t="str" cm="1">
        <f t="array" ref="C14">IF(AND(E8:E10="R",J8:J10="R"),"Kemisk formel","")</f>
        <v/>
      </c>
      <c r="D14" s="264" t="str" cm="1">
        <f t="array" ref="D14">IF(AND(E8:E10="R",J8:J10="R"),"Opskrevet korrekt","")</f>
        <v/>
      </c>
      <c r="E14" s="264" t="str" cm="1">
        <f t="array" ref="E14">IF(AND(E8:E10="R",J8:J10="R"),"Tjek","")</f>
        <v/>
      </c>
      <c r="F14" s="264" t="str" cm="1">
        <f t="array" ref="F14">IF(AND(E8:E10="R",J8:J10="R"),"Navne på de nye ionforbindelser","")</f>
        <v/>
      </c>
      <c r="G14" s="264" t="str" cm="1">
        <f t="array" ref="G14">IF(AND(E8:E10="R",J8:J10="R"),"Tjek:","")</f>
        <v/>
      </c>
      <c r="H14" s="92"/>
      <c r="I14" s="92"/>
      <c r="J14" s="92"/>
      <c r="K14" s="80"/>
      <c r="M14" s="11"/>
      <c r="V14" s="4"/>
      <c r="W14" s="3"/>
      <c r="X14" s="3"/>
      <c r="Y14" s="3"/>
      <c r="Z14" s="3"/>
      <c r="AA14" s="3"/>
      <c r="AB14" s="3"/>
      <c r="AC14" s="3"/>
      <c r="AD14" s="3"/>
      <c r="AE14" s="3"/>
      <c r="AF14" s="3"/>
      <c r="AG14" s="3"/>
      <c r="AH14" s="437"/>
      <c r="AI14" s="437"/>
      <c r="AJ14" s="437"/>
      <c r="AK14" s="437"/>
    </row>
    <row r="15" spans="2:37" ht="18.75" x14ac:dyDescent="0.3">
      <c r="B15" s="268" t="s">
        <v>279</v>
      </c>
      <c r="C15" s="269"/>
      <c r="D15" s="270" t="str">
        <f>IF(OR(C15=AA16,AB16=C15),AB16,IF(OR(C15=AA15,C15=AB15),AB15,""))</f>
        <v/>
      </c>
      <c r="E15" s="271" t="str">
        <f>IF(OR(TRIM(C15)=AA15,TRIM(C15)=AB15,TRIM(C15)=AA16,TRIM(C15)=AB16),"R",IF(D15="","","F"))</f>
        <v/>
      </c>
      <c r="F15" s="269"/>
      <c r="G15" s="271" t="str">
        <f>IF(OR(F15=AD15,F15=AD16),"R",IF(F15="","","F"))</f>
        <v/>
      </c>
      <c r="H15" s="92"/>
      <c r="I15" s="92"/>
      <c r="J15" s="92"/>
      <c r="K15" s="80"/>
      <c r="M15" s="11"/>
      <c r="V15" s="4"/>
      <c r="W15" s="3"/>
      <c r="X15" s="3"/>
      <c r="Y15" s="3"/>
      <c r="Z15" s="3"/>
      <c r="AA15" s="3" t="s">
        <v>274</v>
      </c>
      <c r="AB15" s="3" t="s">
        <v>272</v>
      </c>
      <c r="AC15" s="3"/>
      <c r="AD15" s="3" t="s">
        <v>276</v>
      </c>
      <c r="AE15" s="3"/>
      <c r="AF15" s="3"/>
      <c r="AG15" s="3"/>
      <c r="AH15" s="437"/>
      <c r="AI15" s="437"/>
      <c r="AJ15" s="437"/>
      <c r="AK15" s="437"/>
    </row>
    <row r="16" spans="2:37" ht="18.75" x14ac:dyDescent="0.3">
      <c r="B16" s="266" t="s">
        <v>280</v>
      </c>
      <c r="C16" s="267"/>
      <c r="D16" s="264" t="str">
        <f>IF(OR(C16=AA16,AB16=C16),AB16,IF(OR(C16=AA15,C16=AB15),AB15,""))</f>
        <v/>
      </c>
      <c r="E16" s="271" t="str">
        <f>IF(AND(D16&lt;&gt;"",D15=D16),"F",IF(OR(TRIM(C16)=AA15,TRIM(C16)=AB15,TRIM(C16)=AA16,TRIM(C16)=AB16),"R",IF(D16="","","F")))</f>
        <v/>
      </c>
      <c r="F16" s="267"/>
      <c r="G16" s="265" t="str">
        <f>IF(OR(F16=AD16,F16=AD15),"R",IF(F16="","","F"))</f>
        <v/>
      </c>
      <c r="H16" s="92"/>
      <c r="I16" s="92"/>
      <c r="J16" s="92"/>
      <c r="K16" s="80"/>
      <c r="M16" s="11"/>
      <c r="V16" s="4"/>
      <c r="W16" s="3"/>
      <c r="X16" s="3"/>
      <c r="Y16" s="3"/>
      <c r="Z16" s="3"/>
      <c r="AA16" s="3" t="s">
        <v>275</v>
      </c>
      <c r="AB16" s="3" t="s">
        <v>273</v>
      </c>
      <c r="AC16" s="3"/>
      <c r="AD16" s="3" t="s">
        <v>277</v>
      </c>
      <c r="AE16" s="3"/>
      <c r="AF16" s="3"/>
      <c r="AG16" s="3"/>
      <c r="AH16" s="437"/>
      <c r="AI16" s="437"/>
      <c r="AJ16" s="437"/>
      <c r="AK16" s="437"/>
    </row>
    <row r="17" spans="1:37" x14ac:dyDescent="0.25">
      <c r="B17" s="78"/>
      <c r="C17" s="92"/>
      <c r="D17" s="92"/>
      <c r="E17" s="92" t="str">
        <f>IF(AND(OR(E15="R",E16="R"),D15=D16), "hov du skal lave 2 forskellige ionforbindelser - du må ikke bare skrive den samme 2 gange","")</f>
        <v/>
      </c>
      <c r="F17" s="92"/>
      <c r="G17" s="92"/>
      <c r="H17" s="92"/>
      <c r="I17" s="92"/>
      <c r="J17" s="92"/>
      <c r="K17" s="80"/>
      <c r="M17" s="11"/>
      <c r="V17" s="4"/>
      <c r="W17" s="3"/>
      <c r="X17" s="3"/>
      <c r="Y17" s="3"/>
      <c r="Z17" s="3"/>
      <c r="AA17" s="3"/>
      <c r="AB17" s="3"/>
      <c r="AC17" s="3"/>
      <c r="AD17" s="3"/>
      <c r="AE17" s="3"/>
      <c r="AF17" s="3"/>
      <c r="AG17" s="3"/>
      <c r="AH17" s="437"/>
      <c r="AI17" s="437"/>
      <c r="AJ17" s="437"/>
      <c r="AK17" s="437"/>
    </row>
    <row r="18" spans="1:37" x14ac:dyDescent="0.25">
      <c r="B18" s="78" t="str" cm="1">
        <f t="array" ref="B18">IF(AND(E15:E16="R"),"Sejt! - Nu er du klar til af afstemme reaktionsskemaet med koefficienter i de lyseblå felter. Hvis der ikke skal være nogen koefficient, skal du skrive 1","Udfyld ovenstående lyseblå felter, inden du går videre")</f>
        <v>Udfyld ovenstående lyseblå felter, inden du går videre</v>
      </c>
      <c r="C18" s="92"/>
      <c r="D18" s="92"/>
      <c r="E18" s="92"/>
      <c r="F18" s="92"/>
      <c r="G18" s="92"/>
      <c r="H18" s="92"/>
      <c r="I18" s="92"/>
      <c r="J18" s="92"/>
      <c r="K18" s="80"/>
      <c r="M18" s="11"/>
      <c r="V18" s="4"/>
      <c r="W18" s="3"/>
      <c r="X18" s="3"/>
      <c r="Y18" s="3"/>
      <c r="Z18" s="3"/>
      <c r="AA18" s="3"/>
      <c r="AB18" s="3"/>
      <c r="AC18" s="3"/>
      <c r="AD18" s="3"/>
      <c r="AE18" s="3"/>
      <c r="AF18" s="3"/>
      <c r="AG18" s="3"/>
      <c r="AH18" s="437"/>
      <c r="AI18" s="437"/>
      <c r="AJ18" s="437"/>
      <c r="AK18" s="437"/>
    </row>
    <row r="19" spans="1:37" ht="18.75" x14ac:dyDescent="0.3">
      <c r="B19" s="379" t="s">
        <v>78</v>
      </c>
      <c r="C19" s="274"/>
      <c r="D19" s="273" t="str">
        <f>IF(E10="R",D10&amp;"   +","")</f>
        <v/>
      </c>
      <c r="E19" s="274"/>
      <c r="F19" s="273" t="str">
        <f>IF(J10="R",I10,"")</f>
        <v/>
      </c>
      <c r="G19" s="273" t="s">
        <v>48</v>
      </c>
      <c r="H19" s="274"/>
      <c r="I19" s="273" t="str">
        <f>IF(OR(D15=AB15,D16=AB15),AB15&amp;"   +","")</f>
        <v/>
      </c>
      <c r="J19" s="274"/>
      <c r="K19" s="275" t="str">
        <f>IF(OR(D15=AB16,D16=AB16),AB16,"")</f>
        <v/>
      </c>
      <c r="M19" s="11"/>
      <c r="V19" s="4"/>
      <c r="W19" s="3"/>
      <c r="X19" s="3"/>
      <c r="Y19" s="3"/>
      <c r="Z19" s="3"/>
      <c r="AA19" s="3">
        <v>1</v>
      </c>
      <c r="AB19" s="3"/>
      <c r="AC19" s="3">
        <v>1</v>
      </c>
      <c r="AD19" s="3"/>
      <c r="AE19" s="3"/>
      <c r="AF19" s="3">
        <v>1</v>
      </c>
      <c r="AG19" s="3"/>
      <c r="AH19" s="437">
        <v>1</v>
      </c>
      <c r="AI19" s="437"/>
      <c r="AJ19" s="437"/>
      <c r="AK19" s="437"/>
    </row>
    <row r="20" spans="1:37" ht="18.75" x14ac:dyDescent="0.3">
      <c r="B20" s="377"/>
      <c r="C20" s="378" t="str">
        <f>IF(C19=AA19,"R",IF(C19="","","F"))</f>
        <v/>
      </c>
      <c r="D20" s="277" t="str">
        <f>C7</f>
        <v>Jern(II)sulfat</v>
      </c>
      <c r="E20" s="378" t="str">
        <f>IF(E19=AC19,"R",IF(E19="","","F"))</f>
        <v/>
      </c>
      <c r="F20" s="277" t="str">
        <f>H7</f>
        <v>Ammoniumcarbonat</v>
      </c>
      <c r="G20" s="273"/>
      <c r="H20" s="378" t="str">
        <f>IF(H19=AF19,"R",IF(H19="","","F"))</f>
        <v/>
      </c>
      <c r="I20" s="277" t="str">
        <f>IF(OR(F15=AD15,F16=AD15),AD15,"")</f>
        <v/>
      </c>
      <c r="J20" s="378" t="str">
        <f>IF(J19=AH19,"R",IF(J19="","","F"))</f>
        <v/>
      </c>
      <c r="K20" s="276" t="str">
        <f>IF(OR(F15=AD16,F16=AD16),AD16,"")</f>
        <v/>
      </c>
      <c r="M20" s="11"/>
      <c r="V20" s="4"/>
      <c r="W20" s="3"/>
      <c r="X20" s="3"/>
      <c r="Y20" s="3"/>
      <c r="Z20" s="3"/>
      <c r="AA20" s="3"/>
      <c r="AB20" s="3"/>
      <c r="AC20" s="3"/>
      <c r="AD20" s="3"/>
      <c r="AE20" s="3"/>
      <c r="AF20" s="3"/>
      <c r="AG20" s="3"/>
      <c r="AH20" s="437"/>
      <c r="AI20" s="437"/>
      <c r="AJ20" s="437"/>
      <c r="AK20" s="437"/>
    </row>
    <row r="21" spans="1:37" x14ac:dyDescent="0.25">
      <c r="B21" s="78"/>
      <c r="C21" s="92"/>
      <c r="D21" s="92"/>
      <c r="E21" s="92"/>
      <c r="F21" s="92"/>
      <c r="G21" s="92"/>
      <c r="H21" s="92"/>
      <c r="I21" s="92"/>
      <c r="J21" s="92"/>
      <c r="K21" s="80"/>
      <c r="M21" s="11"/>
      <c r="V21" s="4"/>
      <c r="W21" s="3"/>
      <c r="X21" s="3"/>
      <c r="Y21" s="3"/>
      <c r="Z21" s="3"/>
      <c r="AA21" s="3"/>
      <c r="AB21" s="3"/>
      <c r="AC21" s="3"/>
      <c r="AD21" s="3"/>
      <c r="AE21" s="3"/>
      <c r="AF21" s="3"/>
      <c r="AG21" s="3"/>
      <c r="AH21" s="437"/>
      <c r="AI21" s="437"/>
      <c r="AJ21" s="437"/>
      <c r="AK21" s="437"/>
    </row>
    <row r="22" spans="1:37" ht="18.75" x14ac:dyDescent="0.3">
      <c r="A22" s="18"/>
      <c r="B22" s="95" t="str">
        <f>IF(AND(C20="R",E20="R",H20="R",J20="R"),"Sådan!! det endelige reaktionsskema er nemlig:                 FeSO₄ (aq) + (NH₄)₂CO₃ (aq) ⟶ FeCO₃ (s) + (NH₄)₂SO₄ (aq)                      Bemærk at jern(II)carbonat vil udfældes",IF(OR(C19=2,E19=2,H19=31,J19=2),"Hov - gætter du bare?",""))</f>
        <v/>
      </c>
      <c r="C22" s="96"/>
      <c r="D22" s="96"/>
      <c r="E22" s="96"/>
      <c r="F22" s="96"/>
      <c r="G22" s="96"/>
      <c r="H22" s="96"/>
      <c r="I22" s="96"/>
      <c r="J22" s="96"/>
      <c r="K22" s="86"/>
      <c r="M22" s="11"/>
      <c r="V22" s="4"/>
      <c r="W22" s="3"/>
      <c r="X22" s="3"/>
      <c r="Y22" s="3"/>
      <c r="Z22" s="3"/>
      <c r="AA22" s="3"/>
      <c r="AB22" s="3"/>
      <c r="AC22" s="3"/>
      <c r="AD22" s="3"/>
      <c r="AE22" s="3"/>
      <c r="AF22" s="3"/>
      <c r="AG22" s="3"/>
      <c r="AH22" s="437"/>
      <c r="AI22" s="437"/>
      <c r="AJ22" s="437"/>
      <c r="AK22" s="437"/>
    </row>
    <row r="23" spans="1:37" x14ac:dyDescent="0.25">
      <c r="B23" s="79"/>
      <c r="C23" s="92"/>
      <c r="D23" s="92"/>
      <c r="E23" s="92"/>
      <c r="F23" s="92"/>
      <c r="G23" s="92"/>
      <c r="H23" s="92"/>
      <c r="I23" s="92"/>
      <c r="J23" s="92"/>
      <c r="K23" s="80"/>
      <c r="M23" s="11"/>
      <c r="V23" s="4"/>
      <c r="W23" s="3"/>
      <c r="X23" s="3"/>
      <c r="Y23" s="3"/>
      <c r="Z23" s="3"/>
      <c r="AA23" s="3"/>
      <c r="AB23" s="3"/>
      <c r="AC23" s="3"/>
      <c r="AD23" s="3"/>
      <c r="AE23" s="3"/>
      <c r="AF23" s="3"/>
      <c r="AG23" s="3"/>
      <c r="AH23" s="437"/>
      <c r="AI23" s="437"/>
      <c r="AJ23" s="437"/>
      <c r="AK23" s="437"/>
    </row>
    <row r="24" spans="1:37" x14ac:dyDescent="0.25">
      <c r="B24" s="79"/>
      <c r="C24" s="92"/>
      <c r="D24" s="92"/>
      <c r="E24" s="92"/>
      <c r="F24" s="92"/>
      <c r="G24" s="92"/>
      <c r="H24" s="92"/>
      <c r="I24" s="92"/>
      <c r="J24" s="92"/>
      <c r="K24" s="80"/>
      <c r="M24" s="11"/>
      <c r="V24" s="4"/>
      <c r="W24" s="3"/>
      <c r="X24" s="3"/>
      <c r="Y24" s="3"/>
      <c r="Z24" s="3"/>
      <c r="AA24" s="3"/>
      <c r="AB24" s="3"/>
      <c r="AC24" s="3"/>
      <c r="AD24" s="3"/>
      <c r="AE24" s="3"/>
      <c r="AF24" s="3"/>
      <c r="AG24" s="3"/>
      <c r="AH24" s="437"/>
      <c r="AI24" s="437"/>
      <c r="AJ24" s="437"/>
      <c r="AK24" s="437"/>
    </row>
    <row r="25" spans="1:37" x14ac:dyDescent="0.25">
      <c r="B25" s="79"/>
      <c r="C25" s="92"/>
      <c r="D25" s="92"/>
      <c r="E25" s="92"/>
      <c r="F25" s="92"/>
      <c r="G25" s="92"/>
      <c r="H25" s="92"/>
      <c r="I25" s="92"/>
      <c r="J25" s="92"/>
      <c r="K25" s="80"/>
      <c r="M25" s="11"/>
      <c r="V25" s="4"/>
      <c r="W25" s="3"/>
      <c r="X25" s="3"/>
      <c r="Y25" s="3"/>
      <c r="Z25" s="3"/>
      <c r="AA25" s="3"/>
      <c r="AB25" s="3"/>
      <c r="AC25" s="3"/>
      <c r="AD25" s="3"/>
      <c r="AE25" s="3"/>
      <c r="AF25" s="3"/>
      <c r="AG25" s="3"/>
      <c r="AH25" s="437"/>
      <c r="AI25" s="437"/>
      <c r="AJ25" s="437"/>
      <c r="AK25" s="437"/>
    </row>
    <row r="26" spans="1:37" ht="28.5" x14ac:dyDescent="0.45">
      <c r="B26" s="89" t="s">
        <v>284</v>
      </c>
      <c r="C26" s="90"/>
      <c r="D26" s="90"/>
      <c r="E26" s="90"/>
      <c r="F26" s="90"/>
      <c r="G26" s="90"/>
      <c r="H26" s="90"/>
      <c r="I26" s="90"/>
      <c r="J26" s="90"/>
      <c r="K26" s="85"/>
      <c r="M26" s="11"/>
      <c r="V26" s="4"/>
      <c r="W26" s="3"/>
      <c r="X26" s="3"/>
      <c r="Y26" s="3"/>
      <c r="Z26" s="3"/>
      <c r="AA26" s="3"/>
      <c r="AB26" s="3"/>
      <c r="AC26" s="3"/>
      <c r="AD26" s="3"/>
      <c r="AE26" s="3"/>
      <c r="AF26" s="3"/>
      <c r="AG26" s="3"/>
      <c r="AH26" s="437"/>
      <c r="AI26" s="437"/>
      <c r="AJ26" s="437"/>
      <c r="AK26" s="437"/>
    </row>
    <row r="27" spans="1:37" ht="21" x14ac:dyDescent="0.35">
      <c r="B27" s="91" t="s">
        <v>1047</v>
      </c>
      <c r="C27" s="92"/>
      <c r="D27" s="92"/>
      <c r="E27" s="92"/>
      <c r="F27" s="92"/>
      <c r="G27" s="92"/>
      <c r="H27" s="92"/>
      <c r="I27" s="92"/>
      <c r="J27" s="92"/>
      <c r="K27" s="80"/>
      <c r="M27" s="11"/>
      <c r="V27" s="4"/>
      <c r="W27" s="3"/>
      <c r="X27" s="3"/>
      <c r="Y27" s="3"/>
      <c r="Z27" s="3"/>
      <c r="AA27" s="3"/>
      <c r="AB27" s="3"/>
      <c r="AC27" s="3"/>
      <c r="AD27" s="3"/>
      <c r="AE27" s="3"/>
      <c r="AF27" s="3"/>
      <c r="AG27" s="3"/>
      <c r="AH27" s="437"/>
      <c r="AI27" s="437"/>
      <c r="AJ27" s="437"/>
      <c r="AK27" s="437"/>
    </row>
    <row r="28" spans="1:37" x14ac:dyDescent="0.25">
      <c r="B28" s="78"/>
      <c r="C28" s="92"/>
      <c r="D28" s="92"/>
      <c r="E28" s="92"/>
      <c r="F28" s="92"/>
      <c r="G28" s="92"/>
      <c r="H28" s="92"/>
      <c r="I28" s="92"/>
      <c r="J28" s="92"/>
      <c r="K28" s="80"/>
      <c r="M28" s="11"/>
      <c r="V28" s="4"/>
      <c r="W28" s="3"/>
      <c r="X28" s="3"/>
      <c r="Y28" s="3"/>
      <c r="Z28" s="3"/>
      <c r="AA28" s="3"/>
      <c r="AB28" s="3"/>
      <c r="AC28" s="3"/>
      <c r="AD28" s="3"/>
      <c r="AE28" s="3"/>
      <c r="AF28" s="3"/>
      <c r="AG28" s="3"/>
      <c r="AH28" s="437"/>
      <c r="AI28" s="437"/>
      <c r="AJ28" s="437"/>
      <c r="AK28" s="437"/>
    </row>
    <row r="29" spans="1:37" ht="18.75" x14ac:dyDescent="0.3">
      <c r="B29" s="263" t="s">
        <v>225</v>
      </c>
      <c r="C29" s="264" t="s">
        <v>285</v>
      </c>
      <c r="D29" s="264" t="s">
        <v>263</v>
      </c>
      <c r="E29" s="264" t="s">
        <v>123</v>
      </c>
      <c r="F29" s="92"/>
      <c r="G29" s="265" t="s">
        <v>225</v>
      </c>
      <c r="H29" s="264" t="s">
        <v>298</v>
      </c>
      <c r="I29" s="264" t="s">
        <v>263</v>
      </c>
      <c r="J29" s="264" t="s">
        <v>123</v>
      </c>
      <c r="K29" s="80"/>
      <c r="M29" s="11"/>
      <c r="V29" s="4"/>
      <c r="W29" s="3"/>
      <c r="X29" s="3"/>
      <c r="Y29" s="3"/>
      <c r="Z29" s="3"/>
      <c r="AA29" s="3"/>
      <c r="AB29" s="3"/>
      <c r="AC29" s="3"/>
      <c r="AD29" s="3"/>
      <c r="AE29" s="3"/>
      <c r="AF29" s="3"/>
      <c r="AG29" s="3"/>
      <c r="AH29" s="437"/>
      <c r="AI29" s="437"/>
      <c r="AJ29" s="437"/>
      <c r="AK29" s="437"/>
    </row>
    <row r="30" spans="1:37" ht="18.75" x14ac:dyDescent="0.3">
      <c r="B30" s="266" t="s">
        <v>281</v>
      </c>
      <c r="C30" s="12"/>
      <c r="D30" s="264" t="str">
        <f>IF(E30="R",AB30,"")</f>
        <v/>
      </c>
      <c r="E30" s="265" t="str">
        <f>IF(OR(TRIM(C30)=AA30,TRIM(C30)=AB30),"R",IF(C30="","","F"))</f>
        <v/>
      </c>
      <c r="F30" s="92"/>
      <c r="G30" s="264" t="s">
        <v>258</v>
      </c>
      <c r="H30" s="12"/>
      <c r="I30" s="264" t="str">
        <f>IF(J30="R",AH30,"")</f>
        <v/>
      </c>
      <c r="J30" s="265" t="str">
        <f>IF(OR(TRIM(H30)=AG30,TRIM(H30)=AH30),"R",IF(H30="","","F"))</f>
        <v/>
      </c>
      <c r="K30" s="80"/>
      <c r="M30" s="11"/>
      <c r="V30" s="4"/>
      <c r="W30" s="3"/>
      <c r="X30" s="3"/>
      <c r="Y30" s="3"/>
      <c r="Z30" s="3"/>
      <c r="AA30" s="3" t="s">
        <v>286</v>
      </c>
      <c r="AB30" s="3" t="s">
        <v>151</v>
      </c>
      <c r="AC30" s="3"/>
      <c r="AD30" s="3"/>
      <c r="AE30" s="3"/>
      <c r="AF30" s="3"/>
      <c r="AG30" s="3" t="s">
        <v>295</v>
      </c>
      <c r="AH30" s="437" t="s">
        <v>301</v>
      </c>
      <c r="AI30" s="437"/>
      <c r="AJ30" s="437"/>
      <c r="AK30" s="437"/>
    </row>
    <row r="31" spans="1:37" ht="18.75" x14ac:dyDescent="0.3">
      <c r="B31" s="266" t="s">
        <v>282</v>
      </c>
      <c r="C31" s="12"/>
      <c r="D31" s="264" t="str">
        <f>IF(E31="R",AB31,"")</f>
        <v/>
      </c>
      <c r="E31" s="265" t="str">
        <f>IF(OR(TRIM(C31)=AA31,TRIM(C31)=AB31),"R",IF(C31="","","F"))</f>
        <v/>
      </c>
      <c r="F31" s="92"/>
      <c r="G31" s="264" t="s">
        <v>259</v>
      </c>
      <c r="H31" s="12"/>
      <c r="I31" s="264" t="str">
        <f>IF(J31="R",AH31,"")</f>
        <v/>
      </c>
      <c r="J31" s="265" t="str">
        <f>IF(OR(TRIM(H31)=AG31,TRIM(H31)=AH31),"R",IF(H31="","","F"))</f>
        <v/>
      </c>
      <c r="K31" s="80"/>
      <c r="M31" s="11"/>
      <c r="V31" s="4"/>
      <c r="W31" s="3"/>
      <c r="X31" s="3"/>
      <c r="Y31" s="3"/>
      <c r="Z31" s="3"/>
      <c r="AA31" s="3" t="s">
        <v>293</v>
      </c>
      <c r="AB31" s="3" t="s">
        <v>159</v>
      </c>
      <c r="AC31" s="3"/>
      <c r="AD31" s="3"/>
      <c r="AE31" s="3"/>
      <c r="AF31" s="3"/>
      <c r="AG31" s="3" t="s">
        <v>296</v>
      </c>
      <c r="AH31" s="437" t="s">
        <v>133</v>
      </c>
      <c r="AI31" s="437"/>
      <c r="AJ31" s="437"/>
      <c r="AK31" s="437"/>
    </row>
    <row r="32" spans="1:37" ht="18.75" x14ac:dyDescent="0.3">
      <c r="B32" s="266" t="s">
        <v>265</v>
      </c>
      <c r="C32" s="12"/>
      <c r="D32" s="264" t="str">
        <f>IF(E32="R",AB32,"")</f>
        <v/>
      </c>
      <c r="E32" s="265" t="str">
        <f>IF(OR(TRIM(C32)=AA32,TRIM(C32)=AB32),"R",IF(C32="","","F"))</f>
        <v/>
      </c>
      <c r="F32" s="92"/>
      <c r="G32" s="264" t="s">
        <v>264</v>
      </c>
      <c r="H32" s="12"/>
      <c r="I32" s="264" t="str">
        <f>IF(J32="R",AH32,"")</f>
        <v/>
      </c>
      <c r="J32" s="265" t="str">
        <f>IF(OR(TRIM(H32)=AG32,TRIM(H32)=AH32),"R",IF(H32="","","F"))</f>
        <v/>
      </c>
      <c r="K32" s="80"/>
      <c r="M32" s="11"/>
      <c r="V32" s="4"/>
      <c r="W32" s="3"/>
      <c r="X32" s="3"/>
      <c r="Y32" s="3"/>
      <c r="Z32" s="3"/>
      <c r="AA32" s="3" t="s">
        <v>294</v>
      </c>
      <c r="AB32" s="3" t="s">
        <v>175</v>
      </c>
      <c r="AC32" s="3"/>
      <c r="AD32" s="3"/>
      <c r="AE32" s="3"/>
      <c r="AF32" s="3"/>
      <c r="AG32" s="3" t="s">
        <v>297</v>
      </c>
      <c r="AH32" s="437" t="s">
        <v>302</v>
      </c>
      <c r="AI32" s="437"/>
      <c r="AJ32" s="437"/>
      <c r="AK32" s="437"/>
    </row>
    <row r="33" spans="1:37" x14ac:dyDescent="0.25">
      <c r="B33" s="78"/>
      <c r="C33" s="92"/>
      <c r="D33" s="92"/>
      <c r="E33" s="92"/>
      <c r="F33" s="92"/>
      <c r="G33" s="92"/>
      <c r="H33" s="92" t="str">
        <f>IF(H32="nh42co3","du skal skrive paranteser rundt om sammensatte ioner, når der er flere end en", "")</f>
        <v/>
      </c>
      <c r="I33" s="92"/>
      <c r="J33" s="92"/>
      <c r="K33" s="80"/>
      <c r="M33" s="11"/>
      <c r="V33" s="4"/>
      <c r="W33" s="3"/>
      <c r="X33" s="3"/>
      <c r="Y33" s="3"/>
      <c r="Z33" s="3"/>
      <c r="AA33" s="3"/>
      <c r="AB33" s="3"/>
      <c r="AC33" s="3"/>
      <c r="AD33" s="3"/>
      <c r="AE33" s="3"/>
      <c r="AF33" s="3"/>
      <c r="AG33" s="3"/>
      <c r="AH33" s="437"/>
      <c r="AI33" s="437"/>
      <c r="AJ33" s="437"/>
      <c r="AK33" s="437"/>
    </row>
    <row r="34" spans="1:37" x14ac:dyDescent="0.25">
      <c r="B34" s="78"/>
      <c r="C34" s="92"/>
      <c r="D34" s="92"/>
      <c r="E34" s="92"/>
      <c r="F34" s="92"/>
      <c r="G34" s="92"/>
      <c r="H34" s="92"/>
      <c r="I34" s="92"/>
      <c r="J34" s="92"/>
      <c r="K34" s="80"/>
      <c r="M34" s="11"/>
      <c r="V34" s="4"/>
      <c r="W34" s="3"/>
      <c r="X34" s="3"/>
      <c r="Y34" s="3"/>
      <c r="Z34" s="3"/>
      <c r="AA34" s="3"/>
      <c r="AB34" s="3"/>
      <c r="AC34" s="3"/>
      <c r="AD34" s="3"/>
      <c r="AE34" s="3"/>
      <c r="AF34" s="3"/>
      <c r="AG34" s="3"/>
      <c r="AH34" s="437"/>
      <c r="AI34" s="437"/>
      <c r="AJ34" s="437"/>
      <c r="AK34" s="437"/>
    </row>
    <row r="35" spans="1:37" x14ac:dyDescent="0.25">
      <c r="B35" s="78" t="str" cm="1">
        <f t="array" ref="B35">IF(AND(E37:E38="R",G37:G38="R"),"",IF(AND(E30:E32="R",J30:J32="R"),"Flot! - Sammensæt opløsningens ioner, således du danner 2 nye neutrale ionforbindelser","Udfyld ovenstående lyseblå felter, inden du går videre"))</f>
        <v>Udfyld ovenstående lyseblå felter, inden du går videre</v>
      </c>
      <c r="C35" s="92"/>
      <c r="D35" s="92"/>
      <c r="E35" s="92"/>
      <c r="F35" s="92"/>
      <c r="G35" s="92"/>
      <c r="H35" s="92"/>
      <c r="I35" s="92"/>
      <c r="J35" s="92"/>
      <c r="K35" s="80"/>
      <c r="M35" s="11"/>
      <c r="V35" s="4"/>
      <c r="W35" s="3"/>
      <c r="X35" s="3"/>
      <c r="Y35" s="3"/>
      <c r="Z35" s="3"/>
      <c r="AA35" s="3"/>
      <c r="AB35" s="3"/>
      <c r="AC35" s="3"/>
      <c r="AD35" s="3"/>
      <c r="AE35" s="3"/>
      <c r="AF35" s="3"/>
      <c r="AG35" s="3"/>
      <c r="AH35" s="437"/>
      <c r="AI35" s="437"/>
      <c r="AJ35" s="437"/>
      <c r="AK35" s="437"/>
    </row>
    <row r="36" spans="1:37" ht="18.75" x14ac:dyDescent="0.3">
      <c r="B36" s="263" t="s">
        <v>1027</v>
      </c>
      <c r="C36" s="264" t="str" cm="1">
        <f t="array" ref="C36">IF(AND(E30:E32="R",J30:J32="R"),"Kemisk formel","")</f>
        <v/>
      </c>
      <c r="D36" s="264" t="str" cm="1">
        <f t="array" ref="D36">IF(AND(E30:E32="R",J30:J32="R"),"Opskrevet korrekt","")</f>
        <v/>
      </c>
      <c r="E36" s="264" t="str" cm="1">
        <f t="array" ref="E36">IF(AND(E30:E32="R",J30:J32="R"),"Tjek","")</f>
        <v/>
      </c>
      <c r="F36" s="264" t="str" cm="1">
        <f t="array" ref="F36">IF(AND(E30:E32="R",J30:J32="R"),"Navne på de nye ionforbindelser","")</f>
        <v/>
      </c>
      <c r="G36" s="264" t="str" cm="1">
        <f t="array" ref="G36">IF(AND(E30:E32="R",J30:J32="R"),"Tjek:","")</f>
        <v/>
      </c>
      <c r="H36" s="92"/>
      <c r="I36" s="92"/>
      <c r="J36" s="92"/>
      <c r="K36" s="80"/>
      <c r="M36" s="11"/>
      <c r="V36" s="4"/>
      <c r="W36" s="3"/>
      <c r="X36" s="3"/>
      <c r="Y36" s="3"/>
      <c r="Z36" s="3"/>
      <c r="AA36" s="3"/>
      <c r="AB36" s="3"/>
      <c r="AC36" s="3"/>
      <c r="AD36" s="3"/>
      <c r="AE36" s="3"/>
      <c r="AF36" s="3"/>
      <c r="AG36" s="3"/>
      <c r="AH36" s="437"/>
      <c r="AI36" s="437"/>
      <c r="AJ36" s="437"/>
      <c r="AK36" s="437"/>
    </row>
    <row r="37" spans="1:37" ht="18.75" x14ac:dyDescent="0.3">
      <c r="B37" s="268" t="s">
        <v>279</v>
      </c>
      <c r="C37" s="269"/>
      <c r="D37" s="270" t="str">
        <f>IF(OR(C37=AA38,AB38=C37),AB38,IF(OR(C37=AA37,C37=AB37),AB37,""))</f>
        <v/>
      </c>
      <c r="E37" s="271" t="str">
        <f>IF(OR(TRIM(C37)=AA37,TRIM(C37)=AB37,TRIM(C37)=AA38,TRIM(C37)=AB38),"R",IF(D37="","","F"))</f>
        <v/>
      </c>
      <c r="F37" s="269"/>
      <c r="G37" s="271" t="str">
        <f>IF(OR(F37=AD37,F37=AD38,F37=AE37),"R",IF(F37="","","F"))</f>
        <v/>
      </c>
      <c r="H37" s="92"/>
      <c r="I37" s="92"/>
      <c r="J37" s="92"/>
      <c r="K37" s="80"/>
      <c r="M37" s="11"/>
      <c r="V37" s="4"/>
      <c r="W37" s="3"/>
      <c r="X37" s="3"/>
      <c r="Y37" s="3"/>
      <c r="Z37" s="3"/>
      <c r="AA37" s="3" t="s">
        <v>299</v>
      </c>
      <c r="AB37" s="3" t="s">
        <v>306</v>
      </c>
      <c r="AC37" s="3"/>
      <c r="AD37" s="3" t="s">
        <v>303</v>
      </c>
      <c r="AE37" s="3" t="s">
        <v>305</v>
      </c>
      <c r="AF37" s="3"/>
      <c r="AG37" s="3"/>
      <c r="AH37" s="437"/>
      <c r="AI37" s="437"/>
      <c r="AJ37" s="437"/>
      <c r="AK37" s="437"/>
    </row>
    <row r="38" spans="1:37" ht="18.75" x14ac:dyDescent="0.3">
      <c r="B38" s="266" t="s">
        <v>280</v>
      </c>
      <c r="C38" s="267"/>
      <c r="D38" s="264" t="str">
        <f>IF(OR(C38=AA38,AB38=C38),AB38,IF(OR(C38=AA37,C38=AB37),AB37,""))</f>
        <v/>
      </c>
      <c r="E38" s="271" t="str">
        <f>IF(AND(D38&lt;&gt;"",D37=D38),"F",IF(OR(TRIM(C38)=AA37,TRIM(C38)=AB37,TRIM(C38)=AA38,TRIM(C38)=AB38),"R",IF(D38="","","F")))</f>
        <v/>
      </c>
      <c r="F38" s="267"/>
      <c r="G38" s="265" t="str">
        <f>IF(OR(F38=AD38,F38=AD37,F38=AE37),"R",IF(F38="","","F"))</f>
        <v/>
      </c>
      <c r="H38" s="92"/>
      <c r="I38" s="92"/>
      <c r="J38" s="92"/>
      <c r="K38" s="80"/>
      <c r="M38" s="11"/>
      <c r="V38" s="4"/>
      <c r="W38" s="3"/>
      <c r="X38" s="3"/>
      <c r="Y38" s="3"/>
      <c r="Z38" s="3"/>
      <c r="AA38" s="3" t="s">
        <v>300</v>
      </c>
      <c r="AB38" s="3" t="s">
        <v>307</v>
      </c>
      <c r="AC38" s="3"/>
      <c r="AD38" s="3" t="s">
        <v>304</v>
      </c>
      <c r="AE38" s="3"/>
      <c r="AF38" s="3"/>
      <c r="AG38" s="3"/>
      <c r="AH38" s="437"/>
      <c r="AI38" s="437"/>
      <c r="AJ38" s="437"/>
      <c r="AK38" s="437"/>
    </row>
    <row r="39" spans="1:37" x14ac:dyDescent="0.25">
      <c r="B39" s="78"/>
      <c r="C39" s="92"/>
      <c r="D39" s="92"/>
      <c r="E39" s="92" t="str">
        <f>IF(AND(OR(E37="R",E38="R"),D37=D38), "hov du skal lave 2 forskellige ionforbindelser - du må ikke bare skrive den samme 2 gange","")</f>
        <v/>
      </c>
      <c r="F39" s="92"/>
      <c r="G39" s="92"/>
      <c r="H39" s="92"/>
      <c r="I39" s="92"/>
      <c r="J39" s="92"/>
      <c r="K39" s="80"/>
      <c r="M39" s="11"/>
      <c r="V39" s="4"/>
      <c r="W39" s="3"/>
      <c r="X39" s="3"/>
      <c r="Y39" s="3"/>
      <c r="Z39" s="3"/>
      <c r="AA39" s="3"/>
      <c r="AB39" s="3"/>
      <c r="AC39" s="3"/>
      <c r="AD39" s="3"/>
      <c r="AE39" s="3"/>
      <c r="AF39" s="3"/>
      <c r="AG39" s="3"/>
      <c r="AH39" s="437"/>
      <c r="AI39" s="437"/>
      <c r="AJ39" s="437"/>
      <c r="AK39" s="437"/>
    </row>
    <row r="40" spans="1:37" x14ac:dyDescent="0.25">
      <c r="B40" s="78" t="str" cm="1">
        <f t="array" ref="B40">IF(AND(E37:E38="R"),"Sejt! - Nu er du klar til af afstemme reaktionsskemaet med koefficienter - hvis der ikke skal være nogen koefficient, skal du skrive 1","Udfyld ovenstående lyseblå felter, inden du går videre")</f>
        <v>Udfyld ovenstående lyseblå felter, inden du går videre</v>
      </c>
      <c r="C40" s="92"/>
      <c r="D40" s="92"/>
      <c r="E40" s="92"/>
      <c r="F40" s="92"/>
      <c r="G40" s="92"/>
      <c r="H40" s="92"/>
      <c r="I40" s="92"/>
      <c r="J40" s="92"/>
      <c r="K40" s="80"/>
      <c r="M40" s="11"/>
      <c r="V40" s="4"/>
      <c r="W40" s="3"/>
      <c r="X40" s="3"/>
      <c r="Y40" s="3"/>
      <c r="Z40" s="3"/>
      <c r="AA40" s="3"/>
      <c r="AB40" s="3"/>
      <c r="AC40" s="3"/>
      <c r="AD40" s="3"/>
      <c r="AE40" s="3"/>
      <c r="AF40" s="3"/>
      <c r="AG40" s="3"/>
      <c r="AH40" s="437"/>
      <c r="AI40" s="437"/>
      <c r="AJ40" s="437"/>
      <c r="AK40" s="437"/>
    </row>
    <row r="41" spans="1:37" ht="18.75" x14ac:dyDescent="0.3">
      <c r="B41" s="265" t="s">
        <v>83</v>
      </c>
      <c r="C41" s="272"/>
      <c r="D41" s="273" t="str">
        <f>IF(E32="R",D32&amp;"   +","")</f>
        <v/>
      </c>
      <c r="E41" s="274"/>
      <c r="F41" s="273" t="str">
        <f>IF(J32="R",I32,"")</f>
        <v/>
      </c>
      <c r="G41" s="273" t="s">
        <v>48</v>
      </c>
      <c r="H41" s="274"/>
      <c r="I41" s="273" t="str">
        <f>IF(OR(D37=AB37,D38=AB37),AB37&amp;"   +","")</f>
        <v/>
      </c>
      <c r="J41" s="274"/>
      <c r="K41" s="275" t="str">
        <f>IF(OR(D37=AB38,D38=AB38),AB38,"")</f>
        <v/>
      </c>
      <c r="M41" s="11"/>
      <c r="V41" s="4"/>
      <c r="W41" s="3"/>
      <c r="X41" s="3"/>
      <c r="Y41" s="3"/>
      <c r="Z41" s="3"/>
      <c r="AA41" s="3">
        <v>2</v>
      </c>
      <c r="AB41" s="3"/>
      <c r="AC41" s="3">
        <v>1</v>
      </c>
      <c r="AD41" s="3"/>
      <c r="AE41" s="3"/>
      <c r="AF41" s="3">
        <v>2</v>
      </c>
      <c r="AG41" s="3"/>
      <c r="AH41" s="437">
        <v>1</v>
      </c>
      <c r="AI41" s="437"/>
      <c r="AJ41" s="437"/>
      <c r="AK41" s="437"/>
    </row>
    <row r="42" spans="1:37" ht="18.75" x14ac:dyDescent="0.3">
      <c r="B42" s="265" t="s">
        <v>283</v>
      </c>
      <c r="C42" s="278"/>
      <c r="D42" s="279" t="str">
        <f>C29</f>
        <v>Sølv(I)nitrat</v>
      </c>
      <c r="E42" s="278"/>
      <c r="F42" s="279" t="str">
        <f>H29</f>
        <v>Bariumbromid</v>
      </c>
      <c r="G42" s="279"/>
      <c r="H42" s="278"/>
      <c r="I42" s="279" t="str">
        <f>IF(OR(F37=AD37,F38=AD37,F37=AE37,AE37=F38),AD37,"")</f>
        <v/>
      </c>
      <c r="J42" s="278"/>
      <c r="K42" s="279" t="str">
        <f>IF(OR(F37=AD38,F38=AD38),AD38,"")</f>
        <v/>
      </c>
      <c r="M42" s="11"/>
      <c r="V42" s="4"/>
      <c r="W42" s="3"/>
      <c r="X42" s="3"/>
      <c r="Y42" s="3"/>
      <c r="Z42" s="3"/>
      <c r="AA42" s="3"/>
      <c r="AB42" s="3"/>
      <c r="AC42" s="3"/>
      <c r="AD42" s="3"/>
      <c r="AE42" s="3"/>
      <c r="AF42" s="3"/>
      <c r="AG42" s="3"/>
      <c r="AH42" s="437"/>
      <c r="AI42" s="437"/>
      <c r="AJ42" s="437"/>
      <c r="AK42" s="437"/>
    </row>
    <row r="43" spans="1:37" ht="18.75" x14ac:dyDescent="0.3">
      <c r="B43" s="280" t="s">
        <v>123</v>
      </c>
      <c r="C43" s="265" t="str">
        <f>IF(C41=AA41,"R",IF(C41="","","F"))</f>
        <v/>
      </c>
      <c r="D43" s="280"/>
      <c r="E43" s="265" t="str">
        <f>IF(E41=AC41,"R",IF(E41="","","F"))</f>
        <v/>
      </c>
      <c r="F43" s="265"/>
      <c r="G43" s="265"/>
      <c r="H43" s="265" t="str">
        <f>IF(H41=AF41,"R",IF(H41="","","F"))</f>
        <v/>
      </c>
      <c r="I43" s="265"/>
      <c r="J43" s="265" t="str">
        <f>IF(J41=AH41,"R",IF(J41="","","F"))</f>
        <v/>
      </c>
      <c r="K43" s="263"/>
      <c r="M43" s="11"/>
      <c r="V43" s="4"/>
      <c r="W43" s="3"/>
      <c r="X43" s="3"/>
      <c r="Y43" s="3"/>
      <c r="Z43" s="3"/>
      <c r="AA43" s="3"/>
      <c r="AB43" s="3"/>
      <c r="AC43" s="3"/>
      <c r="AD43" s="3"/>
      <c r="AE43" s="3"/>
      <c r="AF43" s="3"/>
      <c r="AG43" s="3"/>
      <c r="AH43" s="437"/>
      <c r="AI43" s="437"/>
      <c r="AJ43" s="437"/>
      <c r="AK43" s="437"/>
    </row>
    <row r="44" spans="1:37" x14ac:dyDescent="0.25">
      <c r="A44" s="18"/>
      <c r="B44" s="87" t="str">
        <f>IF(AND(C42="R",E42="R",H42="R",J42="R"),"Flot det endelige reaktionsskema er nemlig:                 FeSO₄ (aq) + (NH₄)₂CO₃ (aq) ⟶ FeCO₃ (s) + (NH₄)₂SO₄  (aq)                      Bemærk at jern(II)carbonat vil udfældes","")</f>
        <v/>
      </c>
      <c r="C44" s="96"/>
      <c r="D44" s="96"/>
      <c r="E44" s="96"/>
      <c r="F44" s="96"/>
      <c r="G44" s="96"/>
      <c r="H44" s="96"/>
      <c r="I44" s="96"/>
      <c r="J44" s="96"/>
      <c r="K44" s="86"/>
      <c r="M44" s="11"/>
      <c r="V44" s="4"/>
      <c r="W44" s="3"/>
      <c r="X44" s="3"/>
      <c r="Y44" s="3"/>
      <c r="Z44" s="3"/>
      <c r="AA44" s="3"/>
      <c r="AB44" s="3"/>
      <c r="AC44" s="3"/>
      <c r="AD44" s="3"/>
      <c r="AE44" s="3"/>
      <c r="AF44" s="3"/>
      <c r="AG44" s="3"/>
      <c r="AH44" s="437"/>
      <c r="AI44" s="437"/>
      <c r="AJ44" s="437"/>
      <c r="AK44" s="437"/>
    </row>
    <row r="45" spans="1:37" x14ac:dyDescent="0.25">
      <c r="A45" s="18"/>
      <c r="B45" s="87" t="str">
        <f>IF(AND(C43="R",E43="R",H43="R",J43="R"),"Flot det endelige reaktionsskema er nemlig:                 2AgNO₃ (aq) + BaBr₂ (aq) ⟶  2AgBr (s) + Ba(NO₃)₂ (aq)                      Bemærk at sølv(I)bromid vil udfældes","")</f>
        <v/>
      </c>
      <c r="C45" s="96"/>
      <c r="D45" s="96"/>
      <c r="E45" s="96"/>
      <c r="F45" s="96"/>
      <c r="G45" s="96"/>
      <c r="H45" s="96"/>
      <c r="I45" s="96"/>
      <c r="J45" s="96"/>
      <c r="K45" s="86"/>
      <c r="M45" s="11"/>
      <c r="V45" s="4"/>
      <c r="W45" s="3"/>
      <c r="X45" s="3"/>
      <c r="Y45" s="3"/>
      <c r="Z45" s="3"/>
      <c r="AA45" s="3"/>
      <c r="AB45" s="3"/>
      <c r="AC45" s="3"/>
      <c r="AD45" s="3"/>
      <c r="AE45" s="3"/>
      <c r="AF45" s="3"/>
      <c r="AG45" s="3"/>
      <c r="AH45" s="437"/>
      <c r="AI45" s="437"/>
      <c r="AJ45" s="437"/>
      <c r="AK45" s="437"/>
    </row>
    <row r="46" spans="1:37" x14ac:dyDescent="0.25">
      <c r="C46" s="28"/>
      <c r="D46" s="28"/>
      <c r="E46" s="28"/>
      <c r="F46" s="28"/>
      <c r="G46" s="28"/>
      <c r="H46" s="28"/>
      <c r="I46" s="28"/>
      <c r="J46" s="28"/>
      <c r="M46" s="11"/>
      <c r="V46" s="4"/>
      <c r="W46" s="3"/>
      <c r="X46" s="3"/>
      <c r="Y46" s="3"/>
      <c r="Z46" s="3"/>
      <c r="AA46" s="3"/>
      <c r="AB46" s="3"/>
      <c r="AC46" s="3"/>
      <c r="AD46" s="3"/>
      <c r="AE46" s="3"/>
      <c r="AF46" s="3"/>
      <c r="AG46" s="3"/>
      <c r="AH46" s="437"/>
      <c r="AI46" s="437"/>
      <c r="AJ46" s="437"/>
      <c r="AK46" s="437"/>
    </row>
    <row r="47" spans="1:37" x14ac:dyDescent="0.25">
      <c r="C47" s="28"/>
      <c r="D47" s="28"/>
      <c r="E47" s="28"/>
      <c r="F47" s="28"/>
      <c r="G47" s="28"/>
      <c r="H47" s="28"/>
      <c r="I47" s="28"/>
      <c r="J47" s="28"/>
      <c r="M47" s="11"/>
      <c r="V47" s="4"/>
      <c r="W47" s="3"/>
      <c r="X47" s="3"/>
      <c r="Y47" s="3"/>
      <c r="Z47" s="3"/>
      <c r="AA47" s="3"/>
      <c r="AB47" s="3"/>
      <c r="AC47" s="3"/>
      <c r="AD47" s="3"/>
      <c r="AE47" s="3"/>
      <c r="AF47" s="3"/>
      <c r="AG47" s="3"/>
      <c r="AH47" s="437"/>
      <c r="AI47" s="437"/>
      <c r="AJ47" s="437"/>
      <c r="AK47" s="437"/>
    </row>
    <row r="48" spans="1:37" x14ac:dyDescent="0.25">
      <c r="C48" s="28"/>
      <c r="D48" s="28"/>
      <c r="E48" s="28"/>
      <c r="F48" s="28"/>
      <c r="G48" s="28"/>
      <c r="H48" s="28"/>
      <c r="I48" s="28"/>
      <c r="J48" s="28"/>
      <c r="M48" s="11"/>
      <c r="V48" s="4"/>
      <c r="W48" s="3"/>
      <c r="X48" s="3"/>
      <c r="Y48" s="3"/>
      <c r="Z48" s="3"/>
      <c r="AA48" s="3"/>
      <c r="AB48" s="3"/>
      <c r="AC48" s="3"/>
      <c r="AD48" s="3"/>
      <c r="AE48" s="3"/>
      <c r="AF48" s="3"/>
      <c r="AG48" s="3"/>
      <c r="AH48" s="437"/>
      <c r="AI48" s="437"/>
      <c r="AJ48" s="437"/>
      <c r="AK48" s="437"/>
    </row>
    <row r="49" spans="2:37" ht="28.5" x14ac:dyDescent="0.45">
      <c r="B49" s="89" t="s">
        <v>308</v>
      </c>
      <c r="C49" s="90"/>
      <c r="D49" s="90"/>
      <c r="E49" s="90"/>
      <c r="F49" s="90"/>
      <c r="G49" s="90"/>
      <c r="H49" s="90"/>
      <c r="I49" s="90"/>
      <c r="J49" s="90"/>
      <c r="K49" s="85"/>
      <c r="M49" s="11"/>
      <c r="V49" s="4"/>
      <c r="W49" s="3"/>
      <c r="X49" s="3"/>
      <c r="Y49" s="3"/>
      <c r="Z49" s="3"/>
      <c r="AA49" s="3"/>
      <c r="AB49" s="3"/>
      <c r="AC49" s="3"/>
      <c r="AD49" s="3"/>
      <c r="AE49" s="3"/>
      <c r="AF49" s="3"/>
      <c r="AG49" s="3"/>
      <c r="AH49" s="437"/>
      <c r="AI49" s="437"/>
      <c r="AJ49" s="437"/>
      <c r="AK49" s="437"/>
    </row>
    <row r="50" spans="2:37" ht="21" x14ac:dyDescent="0.35">
      <c r="B50" s="91" t="s">
        <v>472</v>
      </c>
      <c r="C50" s="92"/>
      <c r="D50" s="92"/>
      <c r="E50" s="92"/>
      <c r="F50" s="92"/>
      <c r="G50" s="92"/>
      <c r="H50" s="92"/>
      <c r="I50" s="92"/>
      <c r="J50" s="92"/>
      <c r="K50" s="80"/>
      <c r="M50" s="11"/>
      <c r="V50" s="4"/>
      <c r="W50" s="3"/>
      <c r="X50" s="3"/>
      <c r="Y50" s="3"/>
      <c r="Z50" s="3"/>
      <c r="AA50" s="3"/>
      <c r="AB50" s="3"/>
      <c r="AC50" s="3"/>
      <c r="AD50" s="3"/>
      <c r="AE50" s="3"/>
      <c r="AF50" s="3"/>
      <c r="AG50" s="3"/>
      <c r="AH50" s="437"/>
      <c r="AI50" s="437"/>
      <c r="AJ50" s="437"/>
      <c r="AK50" s="437"/>
    </row>
    <row r="51" spans="2:37" x14ac:dyDescent="0.25">
      <c r="B51" s="78"/>
      <c r="C51" s="92"/>
      <c r="D51" s="92"/>
      <c r="E51" s="92"/>
      <c r="F51" s="92"/>
      <c r="G51" s="92"/>
      <c r="H51" s="92"/>
      <c r="I51" s="92"/>
      <c r="J51" s="92"/>
      <c r="K51" s="80"/>
      <c r="M51" s="11"/>
      <c r="V51" s="4"/>
      <c r="W51" s="3"/>
      <c r="X51" s="3"/>
      <c r="Y51" s="3"/>
      <c r="Z51" s="3"/>
      <c r="AA51" s="3"/>
      <c r="AB51" s="3"/>
      <c r="AC51" s="3"/>
      <c r="AD51" s="3"/>
      <c r="AE51" s="3"/>
      <c r="AF51" s="3"/>
      <c r="AG51" s="3"/>
      <c r="AH51" s="437"/>
      <c r="AI51" s="437"/>
      <c r="AJ51" s="437"/>
      <c r="AK51" s="437"/>
    </row>
    <row r="52" spans="2:37" ht="18.75" x14ac:dyDescent="0.3">
      <c r="B52" s="263" t="s">
        <v>225</v>
      </c>
      <c r="C52" s="264" t="s">
        <v>311</v>
      </c>
      <c r="D52" s="264" t="s">
        <v>263</v>
      </c>
      <c r="E52" s="264" t="s">
        <v>123</v>
      </c>
      <c r="F52" s="92"/>
      <c r="G52" s="265" t="s">
        <v>225</v>
      </c>
      <c r="H52" s="264" t="s">
        <v>312</v>
      </c>
      <c r="I52" s="264" t="s">
        <v>263</v>
      </c>
      <c r="J52" s="264" t="s">
        <v>123</v>
      </c>
      <c r="K52" s="80"/>
      <c r="M52" s="11"/>
      <c r="V52" s="4"/>
      <c r="W52" s="3"/>
      <c r="X52" s="3"/>
      <c r="Y52" s="3"/>
      <c r="Z52" s="3"/>
      <c r="AA52" s="3"/>
      <c r="AB52" s="3"/>
      <c r="AC52" s="3"/>
      <c r="AD52" s="3"/>
      <c r="AE52" s="3"/>
      <c r="AF52" s="3"/>
      <c r="AG52" s="3"/>
      <c r="AH52" s="437"/>
      <c r="AI52" s="437"/>
      <c r="AJ52" s="437"/>
      <c r="AK52" s="437"/>
    </row>
    <row r="53" spans="2:37" ht="18.75" x14ac:dyDescent="0.3">
      <c r="B53" s="266" t="s">
        <v>281</v>
      </c>
      <c r="C53" s="12"/>
      <c r="D53" s="264" t="str">
        <f>IF(E53="R",AB53,"")</f>
        <v/>
      </c>
      <c r="E53" s="265" t="str">
        <f>IF(OR(TRIM(C53)=AA53,TRIM(C53)=AB53),"R",IF(C53="","","F"))</f>
        <v/>
      </c>
      <c r="F53" s="92"/>
      <c r="G53" s="264" t="s">
        <v>258</v>
      </c>
      <c r="H53" s="12"/>
      <c r="I53" s="264" t="str">
        <f>IF(J53="R",AH53,"")</f>
        <v/>
      </c>
      <c r="J53" s="265" t="str">
        <f>IF(OR(TRIM(H53)=AG53,TRIM(H53)=AH53),"R",IF(H53="","","F"))</f>
        <v/>
      </c>
      <c r="K53" s="80"/>
      <c r="M53" s="11"/>
      <c r="V53" s="4"/>
      <c r="W53" s="3"/>
      <c r="X53" s="3"/>
      <c r="Y53" s="3"/>
      <c r="Z53" s="3"/>
      <c r="AA53" s="3" t="s">
        <v>317</v>
      </c>
      <c r="AB53" s="3" t="s">
        <v>128</v>
      </c>
      <c r="AC53" s="3"/>
      <c r="AD53" s="3"/>
      <c r="AE53" s="3"/>
      <c r="AF53" s="3"/>
      <c r="AG53" s="3" t="s">
        <v>313</v>
      </c>
      <c r="AH53" s="437" t="s">
        <v>136</v>
      </c>
      <c r="AI53" s="437"/>
      <c r="AJ53" s="437"/>
      <c r="AK53" s="437"/>
    </row>
    <row r="54" spans="2:37" ht="18.75" x14ac:dyDescent="0.3">
      <c r="B54" s="266" t="s">
        <v>282</v>
      </c>
      <c r="C54" s="12"/>
      <c r="D54" s="264" t="str">
        <f>IF(E54="R",AB54,"")</f>
        <v/>
      </c>
      <c r="E54" s="265" t="str">
        <f>IF(OR(TRIM(C54)=AA54,TRIM(C54)=AB54),"R",IF(C54="","","F"))</f>
        <v/>
      </c>
      <c r="F54" s="92"/>
      <c r="G54" s="264" t="s">
        <v>259</v>
      </c>
      <c r="H54" s="12"/>
      <c r="I54" s="264" t="str">
        <f>IF(J54="R",AH54,"")</f>
        <v/>
      </c>
      <c r="J54" s="265" t="str">
        <f>IF(OR(TRIM(H54)=AG54,TRIM(H54)=AH54),"R",IF(H54="","","F"))</f>
        <v/>
      </c>
      <c r="K54" s="80"/>
      <c r="M54" s="11"/>
      <c r="V54" s="4"/>
      <c r="W54" s="3"/>
      <c r="X54" s="3"/>
      <c r="Y54" s="3"/>
      <c r="Z54" s="3"/>
      <c r="AA54" s="3" t="s">
        <v>293</v>
      </c>
      <c r="AB54" s="3" t="s">
        <v>159</v>
      </c>
      <c r="AC54" s="3"/>
      <c r="AD54" s="3"/>
      <c r="AE54" s="3"/>
      <c r="AF54" s="3"/>
      <c r="AG54" s="3" t="s">
        <v>318</v>
      </c>
      <c r="AH54" s="437" t="s">
        <v>156</v>
      </c>
      <c r="AI54" s="437"/>
      <c r="AJ54" s="437"/>
      <c r="AK54" s="437"/>
    </row>
    <row r="55" spans="2:37" ht="18.75" x14ac:dyDescent="0.3">
      <c r="B55" s="266" t="s">
        <v>265</v>
      </c>
      <c r="C55" s="12"/>
      <c r="D55" s="264" t="str">
        <f>IF(E55="R",AB55,"")</f>
        <v/>
      </c>
      <c r="E55" s="265" t="str">
        <f>IF(OR(TRIM(C55)=AA55,TRIM(C55)=AB55),"R",IF(C55="","","F"))</f>
        <v/>
      </c>
      <c r="F55" s="92"/>
      <c r="G55" s="264" t="s">
        <v>264</v>
      </c>
      <c r="H55" s="12"/>
      <c r="I55" s="264" t="str">
        <f>IF(J55="R",AH55,"")</f>
        <v/>
      </c>
      <c r="J55" s="265" t="str">
        <f>IF(OR(TRIM(H55)=AG55,TRIM(H55)=AH55),"R",IF(H55="","","F"))</f>
        <v/>
      </c>
      <c r="K55" s="80"/>
      <c r="M55" s="11"/>
      <c r="V55" s="4"/>
      <c r="W55" s="3"/>
      <c r="X55" s="3"/>
      <c r="Y55" s="3"/>
      <c r="Z55" s="3"/>
      <c r="AA55" s="3" t="s">
        <v>316</v>
      </c>
      <c r="AB55" s="3" t="s">
        <v>310</v>
      </c>
      <c r="AC55" s="3"/>
      <c r="AD55" s="3"/>
      <c r="AE55" s="3"/>
      <c r="AF55" s="3"/>
      <c r="AG55" s="3" t="s">
        <v>319</v>
      </c>
      <c r="AH55" s="437" t="s">
        <v>312</v>
      </c>
      <c r="AI55" s="437"/>
      <c r="AJ55" s="437"/>
      <c r="AK55" s="437"/>
    </row>
    <row r="56" spans="2:37" x14ac:dyDescent="0.25">
      <c r="B56" s="78"/>
      <c r="C56" s="92"/>
      <c r="D56" s="92"/>
      <c r="E56" s="92"/>
      <c r="F56" s="92"/>
      <c r="G56" s="92"/>
      <c r="H56" s="92" t="str">
        <f>IF(H55="nh42co3","du skal skrive paranteser rundt om sammensatte ioner, når der er flere end en", "")</f>
        <v/>
      </c>
      <c r="I56" s="92"/>
      <c r="J56" s="92"/>
      <c r="K56" s="80"/>
      <c r="M56" s="11"/>
      <c r="V56" s="4"/>
      <c r="W56" s="3"/>
      <c r="X56" s="3"/>
      <c r="Y56" s="3"/>
      <c r="Z56" s="3"/>
      <c r="AA56" s="3"/>
      <c r="AB56" s="3"/>
      <c r="AC56" s="3"/>
      <c r="AD56" s="3"/>
      <c r="AE56" s="3"/>
      <c r="AF56" s="3"/>
      <c r="AG56" s="3"/>
      <c r="AH56" s="437"/>
      <c r="AI56" s="437"/>
      <c r="AJ56" s="437"/>
      <c r="AK56" s="437"/>
    </row>
    <row r="57" spans="2:37" x14ac:dyDescent="0.25">
      <c r="B57" s="78"/>
      <c r="C57" s="92"/>
      <c r="D57" s="92"/>
      <c r="E57" s="92"/>
      <c r="F57" s="92"/>
      <c r="G57" s="92"/>
      <c r="H57" s="92"/>
      <c r="I57" s="92"/>
      <c r="J57" s="92"/>
      <c r="K57" s="80"/>
      <c r="M57" s="11"/>
      <c r="V57" s="4"/>
      <c r="W57" s="3"/>
      <c r="X57" s="3"/>
      <c r="Y57" s="3"/>
      <c r="Z57" s="3"/>
      <c r="AA57" s="3"/>
      <c r="AB57" s="3"/>
      <c r="AC57" s="3"/>
      <c r="AD57" s="3"/>
      <c r="AE57" s="3"/>
      <c r="AF57" s="3"/>
      <c r="AG57" s="3"/>
      <c r="AH57" s="437"/>
      <c r="AI57" s="437"/>
      <c r="AJ57" s="437"/>
      <c r="AK57" s="437"/>
    </row>
    <row r="58" spans="2:37" x14ac:dyDescent="0.25">
      <c r="B58" s="78" t="str" cm="1">
        <f t="array" ref="B58">IF(AND(E60:E61="R",G60:G61="R"),"",IF(AND(E53:E55="R",J53:J55="R"),"Flot! - Sammensæt opløsningens ioner, således du danner 2 nye neutrale ionforbindelser","Udfyld ovenstående lyseblå felter, inden du går videre"))</f>
        <v>Udfyld ovenstående lyseblå felter, inden du går videre</v>
      </c>
      <c r="C58" s="92"/>
      <c r="D58" s="92"/>
      <c r="E58" s="92"/>
      <c r="F58" s="92"/>
      <c r="G58" s="92"/>
      <c r="H58" s="92"/>
      <c r="I58" s="92"/>
      <c r="J58" s="92"/>
      <c r="K58" s="80"/>
      <c r="M58" s="11"/>
      <c r="V58" s="4"/>
      <c r="W58" s="3"/>
      <c r="X58" s="3"/>
      <c r="Y58" s="3"/>
      <c r="Z58" s="3"/>
      <c r="AA58" s="3"/>
      <c r="AB58" s="3"/>
      <c r="AC58" s="3"/>
      <c r="AD58" s="3"/>
      <c r="AE58" s="3"/>
      <c r="AF58" s="3"/>
      <c r="AG58" s="3"/>
      <c r="AH58" s="437"/>
      <c r="AI58" s="437"/>
      <c r="AJ58" s="437"/>
      <c r="AK58" s="437"/>
    </row>
    <row r="59" spans="2:37" ht="18.75" x14ac:dyDescent="0.3">
      <c r="B59" s="263" t="s">
        <v>1027</v>
      </c>
      <c r="C59" s="264" t="str" cm="1">
        <f t="array" ref="C59">IF(AND(E53:E55="R",J53:J55="R"),"Kemisk formel","")</f>
        <v/>
      </c>
      <c r="D59" s="264" t="str" cm="1">
        <f t="array" ref="D59">IF(AND(E53:E55="R",J53:J55="R"),"Opskrevet korrekt","")</f>
        <v/>
      </c>
      <c r="E59" s="264" t="str" cm="1">
        <f t="array" ref="E59">IF(AND(E53:E55="R",J53:J55="R"),"Tjek","")</f>
        <v/>
      </c>
      <c r="F59" s="264" t="str" cm="1">
        <f t="array" ref="F59">IF(AND(E53:E55="R",J53:J55="R"),"Navne på de nye ionforbindelser","")</f>
        <v/>
      </c>
      <c r="G59" s="264" t="str" cm="1">
        <f t="array" ref="G59">IF(AND(E53:E55="R",J53:J55="R"),"Tjek:","")</f>
        <v/>
      </c>
      <c r="H59" s="92"/>
      <c r="I59" s="92"/>
      <c r="J59" s="92"/>
      <c r="K59" s="80"/>
      <c r="M59" s="11"/>
      <c r="V59" s="4"/>
      <c r="W59" s="3"/>
      <c r="X59" s="3"/>
      <c r="Y59" s="3"/>
      <c r="Z59" s="3"/>
      <c r="AA59" s="3"/>
      <c r="AB59" s="3"/>
      <c r="AC59" s="3"/>
      <c r="AD59" s="3"/>
      <c r="AE59" s="3"/>
      <c r="AF59" s="3"/>
      <c r="AG59" s="3"/>
      <c r="AH59" s="437"/>
      <c r="AI59" s="437"/>
      <c r="AJ59" s="437"/>
      <c r="AK59" s="437"/>
    </row>
    <row r="60" spans="2:37" ht="18.75" x14ac:dyDescent="0.3">
      <c r="B60" s="268" t="s">
        <v>279</v>
      </c>
      <c r="C60" s="269"/>
      <c r="D60" s="270" t="str">
        <f>IF(OR(C60=AA61,AB61=C60),AB61,IF(OR(C60=AA60,C60=AB60),AB60,""))</f>
        <v/>
      </c>
      <c r="E60" s="271" t="str">
        <f>IF(OR(TRIM(C60)=AA60,TRIM(C60)=AB60,TRIM(C60)=AA61,TRIM(C60)=AB61),"R",IF(D60="","","F"))</f>
        <v/>
      </c>
      <c r="F60" s="269"/>
      <c r="G60" s="271" t="str">
        <f>IF(OR(F60=AD60,F60=AD61),"R",IF(F60="","","F"))</f>
        <v/>
      </c>
      <c r="H60" s="92"/>
      <c r="I60" s="92"/>
      <c r="J60" s="92"/>
      <c r="K60" s="80"/>
      <c r="M60" s="11"/>
      <c r="V60" s="4"/>
      <c r="W60" s="3"/>
      <c r="X60" s="3"/>
      <c r="Y60" s="3"/>
      <c r="Z60" s="3"/>
      <c r="AA60" s="3" t="s">
        <v>315</v>
      </c>
      <c r="AB60" s="3" t="s">
        <v>314</v>
      </c>
      <c r="AC60" s="3"/>
      <c r="AD60" s="3" t="s">
        <v>368</v>
      </c>
      <c r="AE60" s="3"/>
      <c r="AF60" s="3"/>
      <c r="AG60" s="3"/>
      <c r="AH60" s="437"/>
      <c r="AI60" s="437"/>
      <c r="AJ60" s="437"/>
      <c r="AK60" s="437"/>
    </row>
    <row r="61" spans="2:37" ht="18.75" x14ac:dyDescent="0.3">
      <c r="B61" s="266" t="s">
        <v>280</v>
      </c>
      <c r="C61" s="267"/>
      <c r="D61" s="264" t="str">
        <f>IF(OR(C61=AA61,AB61=C61),AB61,IF(OR(C61=AA60,C61=AB60),AB60,""))</f>
        <v/>
      </c>
      <c r="E61" s="271" t="str">
        <f>IF(AND(D61&lt;&gt;"",D60=D61),"F",IF(OR(TRIM(C61)=AA60,TRIM(C61)=AB60,TRIM(C61)=AA61,TRIM(C61)=AB61),"R",IF(D61="","","F")))</f>
        <v/>
      </c>
      <c r="F61" s="267"/>
      <c r="G61" s="265" t="str">
        <f>IF(OR(F61=AD61,F61=AD60),"R",IF(F61="","","F"))</f>
        <v/>
      </c>
      <c r="H61" s="92"/>
      <c r="I61" s="92"/>
      <c r="J61" s="92"/>
      <c r="K61" s="80"/>
      <c r="M61" s="11"/>
      <c r="V61" s="4"/>
      <c r="W61" s="3"/>
      <c r="X61" s="3"/>
      <c r="Y61" s="3"/>
      <c r="Z61" s="3"/>
      <c r="AA61" s="3" t="s">
        <v>321</v>
      </c>
      <c r="AB61" s="3" t="s">
        <v>320</v>
      </c>
      <c r="AC61" s="3"/>
      <c r="AD61" s="3" t="s">
        <v>322</v>
      </c>
      <c r="AE61" s="3"/>
      <c r="AF61" s="3"/>
      <c r="AG61" s="3"/>
      <c r="AH61" s="437"/>
      <c r="AI61" s="437"/>
      <c r="AJ61" s="437"/>
      <c r="AK61" s="437"/>
    </row>
    <row r="62" spans="2:37" x14ac:dyDescent="0.25">
      <c r="B62" s="78"/>
      <c r="C62" s="92"/>
      <c r="D62" s="92"/>
      <c r="E62" s="92" t="str">
        <f>IF(AND(OR(E60="R",E61="R"),D60=D61), "hov du skal lave 2 forskellige ionforbindelser - du må ikke bare skrive den samme 2 gange","")</f>
        <v/>
      </c>
      <c r="F62" s="92"/>
      <c r="G62" s="92"/>
      <c r="H62" s="92"/>
      <c r="I62" s="92"/>
      <c r="J62" s="92"/>
      <c r="K62" s="80"/>
      <c r="M62" s="11"/>
      <c r="W62" s="3"/>
      <c r="X62" s="3"/>
      <c r="Y62" s="3"/>
      <c r="Z62" s="3"/>
      <c r="AA62" s="3"/>
      <c r="AB62" s="3"/>
      <c r="AC62" s="3"/>
      <c r="AD62" s="3"/>
      <c r="AE62" s="3"/>
      <c r="AF62" s="3"/>
      <c r="AG62" s="3"/>
      <c r="AH62" s="437"/>
      <c r="AI62" s="437"/>
      <c r="AJ62" s="437"/>
      <c r="AK62" s="437"/>
    </row>
    <row r="63" spans="2:37" x14ac:dyDescent="0.25">
      <c r="B63" s="78" t="str" cm="1">
        <f t="array" ref="B63">IF(AND(E60:E61="R"),"Sejt! - Nu er du klar til af afstemme reaktionsskemaet med koefficienter - hvis der ikke skal være nogen koefficient, skal du skrive 1","Udfyld ovenstående lyseblå felter, inden du går videre")</f>
        <v>Udfyld ovenstående lyseblå felter, inden du går videre</v>
      </c>
      <c r="C63" s="92"/>
      <c r="D63" s="92"/>
      <c r="E63" s="92"/>
      <c r="F63" s="92"/>
      <c r="G63" s="92"/>
      <c r="H63" s="92"/>
      <c r="I63" s="92"/>
      <c r="J63" s="92"/>
      <c r="K63" s="80"/>
      <c r="M63" s="11"/>
      <c r="Y63" s="11"/>
      <c r="AA63" s="437"/>
      <c r="AB63" s="437"/>
      <c r="AC63" s="437"/>
      <c r="AD63" s="437"/>
      <c r="AE63" s="437"/>
      <c r="AF63" s="437"/>
      <c r="AG63" s="437"/>
      <c r="AH63" s="437"/>
      <c r="AI63" s="437"/>
      <c r="AJ63" s="437"/>
      <c r="AK63" s="437"/>
    </row>
    <row r="64" spans="2:37" ht="18.75" x14ac:dyDescent="0.3">
      <c r="B64" s="265" t="s">
        <v>84</v>
      </c>
      <c r="C64" s="272"/>
      <c r="D64" s="273" t="str">
        <f>IF(E55="R",D55&amp;"   +","")</f>
        <v/>
      </c>
      <c r="E64" s="274"/>
      <c r="F64" s="273" t="str">
        <f>IF(J55="R",I55,"")</f>
        <v/>
      </c>
      <c r="G64" s="273" t="s">
        <v>48</v>
      </c>
      <c r="H64" s="274"/>
      <c r="I64" s="273" t="str">
        <f>IF(OR(D60=AB60,D61=AB60),AB60&amp;"   +","")</f>
        <v/>
      </c>
      <c r="J64" s="274"/>
      <c r="K64" s="275" t="str">
        <f>IF(OR(D60=AB61,D61=AB61),AB61,"")</f>
        <v/>
      </c>
      <c r="M64" s="11"/>
      <c r="Y64" s="11"/>
      <c r="AA64" s="437">
        <v>1</v>
      </c>
      <c r="AB64" s="437"/>
      <c r="AC64" s="437">
        <v>3</v>
      </c>
      <c r="AD64" s="437"/>
      <c r="AE64" s="437"/>
      <c r="AF64" s="437">
        <v>1</v>
      </c>
      <c r="AG64" s="437"/>
      <c r="AH64" s="437">
        <v>3</v>
      </c>
      <c r="AI64" s="437"/>
      <c r="AJ64" s="437"/>
      <c r="AK64" s="437"/>
    </row>
    <row r="65" spans="2:37" ht="18.75" x14ac:dyDescent="0.3">
      <c r="B65" s="265" t="s">
        <v>283</v>
      </c>
      <c r="C65" s="278"/>
      <c r="D65" s="279" t="str">
        <f>C52</f>
        <v>Jern(III)nitrat</v>
      </c>
      <c r="E65" s="278"/>
      <c r="F65" s="279" t="str">
        <f>H52</f>
        <v>NaOH</v>
      </c>
      <c r="G65" s="279"/>
      <c r="H65" s="278"/>
      <c r="I65" s="279" t="str">
        <f>IF(OR(F60=AD60,F61=AD60),AD60,"")</f>
        <v/>
      </c>
      <c r="J65" s="278"/>
      <c r="K65" s="279" t="str">
        <f>IF(OR(F60=AD61,F61=AD61),AD61,"")</f>
        <v/>
      </c>
      <c r="M65" s="11"/>
      <c r="Y65" s="11"/>
      <c r="AA65" s="437"/>
      <c r="AB65" s="437"/>
      <c r="AC65" s="437"/>
      <c r="AD65" s="437"/>
      <c r="AE65" s="437"/>
      <c r="AF65" s="437"/>
      <c r="AG65" s="437"/>
      <c r="AH65" s="437"/>
      <c r="AI65" s="437"/>
      <c r="AJ65" s="437"/>
      <c r="AK65" s="437"/>
    </row>
    <row r="66" spans="2:37" ht="18.75" x14ac:dyDescent="0.3">
      <c r="B66" s="280" t="s">
        <v>123</v>
      </c>
      <c r="C66" s="265" t="str">
        <f>IF(C64=AA64,"R",IF(C64="","","F"))</f>
        <v/>
      </c>
      <c r="D66" s="280"/>
      <c r="E66" s="265" t="str">
        <f>IF(E64=AC64,"R",IF(E64="","","F"))</f>
        <v/>
      </c>
      <c r="F66" s="265"/>
      <c r="G66" s="265"/>
      <c r="H66" s="265" t="str">
        <f>IF(H64=AF64,"R",IF(H64="","","F"))</f>
        <v/>
      </c>
      <c r="I66" s="265"/>
      <c r="J66" s="265" t="str">
        <f>IF(J64=AH64,"R",IF(J64="","","F"))</f>
        <v/>
      </c>
      <c r="K66" s="263"/>
      <c r="M66" s="11"/>
      <c r="Y66" s="11"/>
      <c r="AA66" s="437"/>
      <c r="AB66" s="437"/>
      <c r="AC66" s="437"/>
      <c r="AD66" s="437"/>
      <c r="AE66" s="437"/>
      <c r="AF66" s="437"/>
      <c r="AG66" s="437"/>
      <c r="AH66" s="437"/>
      <c r="AI66" s="437"/>
      <c r="AJ66" s="437"/>
      <c r="AK66" s="437"/>
    </row>
    <row r="67" spans="2:37" x14ac:dyDescent="0.25">
      <c r="B67" s="88"/>
      <c r="C67" s="96"/>
      <c r="D67" s="96"/>
      <c r="E67" s="96"/>
      <c r="F67" s="96"/>
      <c r="G67" s="96"/>
      <c r="H67" s="96"/>
      <c r="I67" s="96"/>
      <c r="J67" s="96"/>
      <c r="K67" s="86"/>
      <c r="M67" s="11"/>
      <c r="Y67" s="11"/>
      <c r="AA67" s="437"/>
      <c r="AB67" s="437"/>
      <c r="AC67" s="437"/>
      <c r="AD67" s="437"/>
      <c r="AE67" s="437"/>
      <c r="AF67" s="437"/>
      <c r="AG67" s="437"/>
      <c r="AH67" s="437"/>
      <c r="AI67" s="437"/>
      <c r="AJ67" s="437"/>
      <c r="AK67" s="437"/>
    </row>
    <row r="68" spans="2:37" x14ac:dyDescent="0.25">
      <c r="B68" s="87" t="str">
        <f>IF(AND(C66="R",E66="R",H66="R",J66="R"),"Flot det endelige reaktionsskema er nemlig:                Fe(NO₃)₃ (aq) + 3 NaOH (aq) ⟶ Fe(OH)₃ (s) + 3NaNO₃ (aq)                      Bemærk at jern(III)hydroxid vil udfældes","")</f>
        <v/>
      </c>
      <c r="C68" s="96"/>
      <c r="D68" s="96"/>
      <c r="E68" s="96"/>
      <c r="F68" s="96"/>
      <c r="G68" s="96"/>
      <c r="H68" s="96"/>
      <c r="I68" s="96"/>
      <c r="J68" s="96"/>
      <c r="K68" s="86"/>
      <c r="M68" s="11"/>
      <c r="Y68" s="11"/>
      <c r="AA68" s="437"/>
      <c r="AB68" s="437"/>
      <c r="AC68" s="437"/>
      <c r="AD68" s="437"/>
      <c r="AE68" s="437"/>
      <c r="AF68" s="437"/>
      <c r="AG68" s="437"/>
      <c r="AH68" s="437"/>
      <c r="AI68" s="437"/>
      <c r="AJ68" s="437"/>
      <c r="AK68" s="437"/>
    </row>
    <row r="69" spans="2:37" x14ac:dyDescent="0.25">
      <c r="B69" s="79"/>
      <c r="C69" s="92"/>
      <c r="D69" s="92"/>
      <c r="E69" s="92"/>
      <c r="F69" s="92"/>
      <c r="G69" s="92"/>
      <c r="H69" s="92"/>
      <c r="I69" s="92"/>
      <c r="J69" s="92"/>
      <c r="K69" s="80"/>
      <c r="M69" s="11"/>
      <c r="Y69" s="11"/>
      <c r="AA69" s="437"/>
      <c r="AB69" s="437"/>
      <c r="AC69" s="437"/>
      <c r="AD69" s="437"/>
      <c r="AE69" s="437"/>
      <c r="AF69" s="437"/>
      <c r="AG69" s="437"/>
      <c r="AH69" s="437"/>
      <c r="AI69" s="437"/>
      <c r="AJ69" s="437"/>
      <c r="AK69" s="437"/>
    </row>
    <row r="70" spans="2:37" x14ac:dyDescent="0.25">
      <c r="B70" s="79"/>
      <c r="C70" s="92"/>
      <c r="D70" s="92"/>
      <c r="E70" s="92"/>
      <c r="F70" s="92"/>
      <c r="G70" s="92"/>
      <c r="H70" s="92"/>
      <c r="I70" s="92"/>
      <c r="J70" s="92"/>
      <c r="K70" s="80"/>
      <c r="M70" s="11"/>
      <c r="Y70" s="11"/>
      <c r="AA70" s="437"/>
      <c r="AB70" s="437"/>
      <c r="AC70" s="437"/>
      <c r="AD70" s="437"/>
      <c r="AE70" s="437"/>
      <c r="AF70" s="437"/>
      <c r="AG70" s="437"/>
      <c r="AH70" s="437"/>
      <c r="AI70" s="437"/>
      <c r="AJ70" s="437"/>
      <c r="AK70" s="437"/>
    </row>
    <row r="71" spans="2:37" ht="28.5" x14ac:dyDescent="0.45">
      <c r="B71" s="89" t="s">
        <v>309</v>
      </c>
      <c r="C71" s="90"/>
      <c r="D71" s="90"/>
      <c r="E71" s="90"/>
      <c r="F71" s="90"/>
      <c r="G71" s="90"/>
      <c r="H71" s="90"/>
      <c r="I71" s="90"/>
      <c r="J71" s="90"/>
      <c r="K71" s="85"/>
      <c r="M71" s="11"/>
      <c r="Y71" s="11"/>
      <c r="AA71" s="437"/>
      <c r="AB71" s="437"/>
      <c r="AC71" s="437"/>
      <c r="AD71" s="437"/>
      <c r="AE71" s="437"/>
      <c r="AF71" s="437"/>
      <c r="AG71" s="437"/>
      <c r="AH71" s="437"/>
      <c r="AI71" s="437"/>
      <c r="AJ71" s="437"/>
      <c r="AK71" s="437"/>
    </row>
    <row r="72" spans="2:37" ht="21" x14ac:dyDescent="0.35">
      <c r="B72" s="91" t="s">
        <v>473</v>
      </c>
      <c r="C72" s="92"/>
      <c r="D72" s="92"/>
      <c r="E72" s="92"/>
      <c r="F72" s="92"/>
      <c r="G72" s="92"/>
      <c r="H72" s="92"/>
      <c r="I72" s="92"/>
      <c r="J72" s="92"/>
      <c r="K72" s="80"/>
      <c r="M72" s="11"/>
      <c r="Y72" s="11"/>
      <c r="AA72" s="437"/>
      <c r="AB72" s="437"/>
      <c r="AC72" s="437"/>
      <c r="AD72" s="437"/>
      <c r="AE72" s="437"/>
      <c r="AF72" s="437"/>
      <c r="AG72" s="437"/>
      <c r="AH72" s="437"/>
      <c r="AI72" s="437"/>
      <c r="AJ72" s="437"/>
      <c r="AK72" s="437"/>
    </row>
    <row r="73" spans="2:37" x14ac:dyDescent="0.25">
      <c r="B73" s="78"/>
      <c r="C73" s="92"/>
      <c r="D73" s="92"/>
      <c r="E73" s="92"/>
      <c r="F73" s="92"/>
      <c r="G73" s="92"/>
      <c r="H73" s="92"/>
      <c r="I73" s="92"/>
      <c r="J73" s="92"/>
      <c r="K73" s="80"/>
      <c r="M73" s="11"/>
      <c r="Y73" s="11"/>
      <c r="AA73" s="437"/>
      <c r="AB73" s="437"/>
      <c r="AC73" s="437"/>
      <c r="AD73" s="437"/>
      <c r="AE73" s="437"/>
      <c r="AF73" s="437"/>
      <c r="AG73" s="437"/>
      <c r="AH73" s="437"/>
      <c r="AI73" s="437"/>
      <c r="AJ73" s="437"/>
      <c r="AK73" s="437"/>
    </row>
    <row r="74" spans="2:37" ht="18.75" x14ac:dyDescent="0.3">
      <c r="B74" s="263" t="s">
        <v>225</v>
      </c>
      <c r="C74" s="264" t="s">
        <v>348</v>
      </c>
      <c r="D74" s="264" t="s">
        <v>263</v>
      </c>
      <c r="E74" s="264" t="s">
        <v>123</v>
      </c>
      <c r="F74" s="92"/>
      <c r="G74" s="265" t="s">
        <v>225</v>
      </c>
      <c r="H74" s="264" t="s">
        <v>349</v>
      </c>
      <c r="I74" s="264" t="s">
        <v>263</v>
      </c>
      <c r="J74" s="264" t="s">
        <v>123</v>
      </c>
      <c r="K74" s="80"/>
      <c r="M74" s="11"/>
      <c r="Y74" s="11"/>
      <c r="AA74" s="437"/>
      <c r="AB74" s="437"/>
      <c r="AC74" s="437"/>
      <c r="AD74" s="437"/>
      <c r="AE74" s="437"/>
      <c r="AF74" s="437"/>
      <c r="AG74" s="437"/>
      <c r="AH74" s="437"/>
      <c r="AI74" s="437"/>
      <c r="AJ74" s="437"/>
      <c r="AK74" s="437"/>
    </row>
    <row r="75" spans="2:37" ht="18.75" x14ac:dyDescent="0.3">
      <c r="B75" s="266" t="s">
        <v>281</v>
      </c>
      <c r="C75" s="12"/>
      <c r="D75" s="264" t="str">
        <f>IF(E75="R",AB75,"")</f>
        <v/>
      </c>
      <c r="E75" s="265" t="str">
        <f>IF(OR(TRIM(C75)=AA75,TRIM(C75)=AB75),"R",IF(C75="","","F"))</f>
        <v/>
      </c>
      <c r="F75" s="92"/>
      <c r="G75" s="264" t="s">
        <v>258</v>
      </c>
      <c r="H75" s="12"/>
      <c r="I75" s="264" t="str">
        <f>IF(J75="R",AH75,"")</f>
        <v/>
      </c>
      <c r="J75" s="265" t="str">
        <f>IF(OR(TRIM(H75)=AG75,TRIM(H75)=AH75),"R",IF(H75="","","F"))</f>
        <v/>
      </c>
      <c r="K75" s="80"/>
      <c r="M75" s="11"/>
      <c r="Y75" s="11"/>
      <c r="AA75" s="437" t="s">
        <v>323</v>
      </c>
      <c r="AB75" s="437" t="s">
        <v>127</v>
      </c>
      <c r="AC75" s="437"/>
      <c r="AD75" s="437"/>
      <c r="AE75" s="437"/>
      <c r="AF75" s="437"/>
      <c r="AG75" s="437" t="s">
        <v>295</v>
      </c>
      <c r="AH75" s="437" t="s">
        <v>301</v>
      </c>
      <c r="AI75" s="437"/>
      <c r="AJ75" s="437"/>
      <c r="AK75" s="437"/>
    </row>
    <row r="76" spans="2:37" ht="18.75" x14ac:dyDescent="0.3">
      <c r="B76" s="266" t="s">
        <v>282</v>
      </c>
      <c r="C76" s="12"/>
      <c r="D76" s="264" t="str">
        <f>IF(E76="R",AB76,"")</f>
        <v/>
      </c>
      <c r="E76" s="265" t="str">
        <f>IF(OR(TRIM(C76)=AA76,TRIM(C76)=AB76),"R",IF(C76="","","F"))</f>
        <v/>
      </c>
      <c r="F76" s="92"/>
      <c r="G76" s="264" t="s">
        <v>259</v>
      </c>
      <c r="H76" s="12"/>
      <c r="I76" s="264" t="str">
        <f>IF(J76="R",AH76,"")</f>
        <v/>
      </c>
      <c r="J76" s="265" t="str">
        <f>IF(OR(TRIM(H76)=AG76,TRIM(H76)=AH76),"R",IF(H76="","","F"))</f>
        <v/>
      </c>
      <c r="K76" s="80"/>
      <c r="M76" s="11"/>
      <c r="Y76" s="11"/>
      <c r="AA76" s="437" t="s">
        <v>262</v>
      </c>
      <c r="AB76" s="437" t="s">
        <v>157</v>
      </c>
      <c r="AC76" s="437"/>
      <c r="AD76" s="437"/>
      <c r="AE76" s="437"/>
      <c r="AF76" s="437"/>
      <c r="AG76" s="437" t="s">
        <v>325</v>
      </c>
      <c r="AH76" s="437" t="s">
        <v>436</v>
      </c>
      <c r="AI76" s="437"/>
      <c r="AJ76" s="437"/>
      <c r="AK76" s="437"/>
    </row>
    <row r="77" spans="2:37" ht="18.75" x14ac:dyDescent="0.3">
      <c r="B77" s="266" t="s">
        <v>265</v>
      </c>
      <c r="C77" s="12"/>
      <c r="D77" s="264" t="str">
        <f>IF(E77="R",AB77,"")</f>
        <v/>
      </c>
      <c r="E77" s="265" t="str">
        <f>IF(OR(TRIM(C77)=AA77,TRIM(C77)=AB77),"R",IF(C77="","","F"))</f>
        <v/>
      </c>
      <c r="F77" s="92"/>
      <c r="G77" s="264" t="s">
        <v>264</v>
      </c>
      <c r="H77" s="12"/>
      <c r="I77" s="264" t="str">
        <f>IF(J77="R",AH77,"")</f>
        <v/>
      </c>
      <c r="J77" s="265" t="str">
        <f>IF(OR(TRIM(H77)=AG77,TRIM(H77)=AH77),"R",IF(H77="","","F"))</f>
        <v/>
      </c>
      <c r="K77" s="80"/>
      <c r="M77" s="11"/>
      <c r="Y77" s="11"/>
      <c r="AA77" s="437" t="s">
        <v>324</v>
      </c>
      <c r="AB77" s="437" t="s">
        <v>118</v>
      </c>
      <c r="AC77" s="437"/>
      <c r="AD77" s="437"/>
      <c r="AE77" s="437"/>
      <c r="AF77" s="437"/>
      <c r="AG77" s="437" t="s">
        <v>326</v>
      </c>
      <c r="AH77" s="437" t="s">
        <v>462</v>
      </c>
      <c r="AI77" s="437"/>
      <c r="AJ77" s="437"/>
      <c r="AK77" s="437"/>
    </row>
    <row r="78" spans="2:37" x14ac:dyDescent="0.25">
      <c r="B78" s="78"/>
      <c r="C78" s="92"/>
      <c r="D78" s="92"/>
      <c r="E78" s="92"/>
      <c r="F78" s="92"/>
      <c r="G78" s="92"/>
      <c r="H78" s="92" t="str">
        <f>IF(H77="nh42co3","du skal skrive paranteser rundt om sammensatte ioner, når der er flere end en", "")</f>
        <v/>
      </c>
      <c r="I78" s="92"/>
      <c r="J78" s="92"/>
      <c r="K78" s="80"/>
      <c r="M78" s="11"/>
      <c r="Y78" s="11"/>
      <c r="AA78" s="437"/>
      <c r="AB78" s="437"/>
      <c r="AC78" s="437"/>
      <c r="AD78" s="437"/>
      <c r="AE78" s="437"/>
      <c r="AF78" s="437"/>
      <c r="AG78" s="437"/>
      <c r="AH78" s="437"/>
      <c r="AI78" s="437"/>
      <c r="AJ78" s="437"/>
      <c r="AK78" s="437"/>
    </row>
    <row r="79" spans="2:37" x14ac:dyDescent="0.25">
      <c r="B79" s="78"/>
      <c r="C79" s="92"/>
      <c r="D79" s="92"/>
      <c r="E79" s="92"/>
      <c r="F79" s="92"/>
      <c r="G79" s="92"/>
      <c r="H79" s="92"/>
      <c r="I79" s="92"/>
      <c r="J79" s="92"/>
      <c r="K79" s="80"/>
      <c r="M79" s="11"/>
      <c r="Y79" s="11"/>
      <c r="AA79" s="437"/>
      <c r="AB79" s="437"/>
      <c r="AC79" s="437"/>
      <c r="AD79" s="437"/>
      <c r="AE79" s="437"/>
      <c r="AF79" s="437"/>
      <c r="AG79" s="437"/>
      <c r="AH79" s="437"/>
      <c r="AI79" s="437"/>
      <c r="AJ79" s="437"/>
      <c r="AK79" s="437"/>
    </row>
    <row r="80" spans="2:37" x14ac:dyDescent="0.25">
      <c r="B80" s="78" t="str" cm="1">
        <f t="array" ref="B80">IF(AND(E82:E83="R",G82:G83="R"),"",IF(AND(E75:E77="R",J75:J77="R"),"Flot! - Sammensæt opløsningens ioner, således du danner 2 nye neutrale ionforbindelser","Udfyld ovenstående lyseblå felter, inden du går videre"))</f>
        <v>Udfyld ovenstående lyseblå felter, inden du går videre</v>
      </c>
      <c r="C80" s="92"/>
      <c r="D80" s="92"/>
      <c r="E80" s="92"/>
      <c r="F80" s="92"/>
      <c r="G80" s="92"/>
      <c r="H80" s="92"/>
      <c r="I80" s="92"/>
      <c r="J80" s="92"/>
      <c r="K80" s="80"/>
      <c r="M80" s="11"/>
      <c r="Y80" s="11"/>
      <c r="AA80" s="437"/>
      <c r="AB80" s="437"/>
      <c r="AC80" s="437"/>
      <c r="AD80" s="437"/>
      <c r="AE80" s="437"/>
      <c r="AF80" s="437"/>
      <c r="AG80" s="437"/>
      <c r="AH80" s="437"/>
      <c r="AI80" s="437"/>
      <c r="AJ80" s="437"/>
      <c r="AK80" s="437"/>
    </row>
    <row r="81" spans="1:37" ht="18.75" x14ac:dyDescent="0.3">
      <c r="B81" s="263" t="s">
        <v>1027</v>
      </c>
      <c r="C81" s="264" t="str" cm="1">
        <f t="array" ref="C81">IF(AND(E75:E77="R",J75:J77="R"),"Kemisk formel","")</f>
        <v/>
      </c>
      <c r="D81" s="264" t="str" cm="1">
        <f t="array" ref="D81">IF(AND(E75:E77="R",J75:J77="R"),"Opskrevet korrekt","")</f>
        <v/>
      </c>
      <c r="E81" s="264" t="str" cm="1">
        <f t="array" ref="E81">IF(AND(E75:E77="R",J75:J77="R"),"Tjek","")</f>
        <v/>
      </c>
      <c r="F81" s="264" t="str" cm="1">
        <f t="array" ref="F81">IF(AND(E75:E77="R",J75:J77="R"),"Navne på de nye ionforbindelser","")</f>
        <v/>
      </c>
      <c r="G81" s="264" t="str" cm="1">
        <f t="array" ref="G81">IF(AND(E75:E77="R",J75:J77="R"),"Tjek:","")</f>
        <v/>
      </c>
      <c r="H81" s="92"/>
      <c r="I81" s="92"/>
      <c r="J81" s="92"/>
      <c r="K81" s="80"/>
      <c r="M81" s="11"/>
      <c r="Y81" s="11"/>
      <c r="AA81" s="437"/>
      <c r="AB81" s="437"/>
      <c r="AC81" s="437"/>
      <c r="AD81" s="437"/>
      <c r="AE81" s="437"/>
      <c r="AF81" s="437"/>
      <c r="AG81" s="437"/>
      <c r="AH81" s="437"/>
      <c r="AI81" s="437"/>
      <c r="AJ81" s="437"/>
      <c r="AK81" s="437"/>
    </row>
    <row r="82" spans="1:37" ht="18.75" x14ac:dyDescent="0.3">
      <c r="B82" s="268" t="s">
        <v>279</v>
      </c>
      <c r="C82" s="269"/>
      <c r="D82" s="270" t="str">
        <f>IF(OR(C82=AA83,AB83=C82),AB83,IF(OR(C82=AA82,C82=AB82),AB82,""))</f>
        <v/>
      </c>
      <c r="E82" s="271" t="str">
        <f>IF(OR(TRIM(C82)=AA82,TRIM(C82)=AB82,TRIM(C82)=AA83,TRIM(C82)=AB83),"R",IF(D82="","","F"))</f>
        <v/>
      </c>
      <c r="F82" s="269"/>
      <c r="G82" s="271" t="str">
        <f>IF(OR(F82=AD82,F82=AD83),"R",IF(F82="","","F"))</f>
        <v/>
      </c>
      <c r="H82" s="92"/>
      <c r="I82" s="92"/>
      <c r="J82" s="92"/>
      <c r="K82" s="80"/>
      <c r="M82" s="11"/>
      <c r="Y82" s="11"/>
      <c r="AA82" s="437" t="s">
        <v>327</v>
      </c>
      <c r="AB82" s="437" t="s">
        <v>172</v>
      </c>
      <c r="AC82" s="437"/>
      <c r="AD82" s="437" t="s">
        <v>185</v>
      </c>
      <c r="AE82" s="437"/>
      <c r="AF82" s="437"/>
      <c r="AG82" s="437"/>
      <c r="AH82" s="437"/>
      <c r="AI82" s="437"/>
      <c r="AJ82" s="437"/>
      <c r="AK82" s="437"/>
    </row>
    <row r="83" spans="1:37" ht="18.75" x14ac:dyDescent="0.3">
      <c r="B83" s="266" t="s">
        <v>280</v>
      </c>
      <c r="C83" s="267"/>
      <c r="D83" s="264" t="str">
        <f>IF(OR(C83=AA83,AB83=C83),AB83,IF(OR(C83=AA82,C83=AB82),AB82,""))</f>
        <v/>
      </c>
      <c r="E83" s="271" t="str">
        <f>IF(AND(D83&lt;&gt;"",D82=D83),"F",IF(OR(TRIM(C83)=AA82,TRIM(C83)=AB82,TRIM(C83)=AA83,TRIM(C83)=AB83),"R",IF(D83="","","F")))</f>
        <v/>
      </c>
      <c r="F83" s="267"/>
      <c r="G83" s="265" t="str">
        <f>IF(OR(F83=AD83,F83=AD82),"R",IF(F83="","","F"))</f>
        <v/>
      </c>
      <c r="H83" s="92"/>
      <c r="I83" s="92"/>
      <c r="J83" s="92"/>
      <c r="K83" s="80"/>
      <c r="M83" s="11"/>
      <c r="Y83" s="11"/>
      <c r="AA83" s="437" t="s">
        <v>486</v>
      </c>
      <c r="AB83" s="437" t="s">
        <v>485</v>
      </c>
      <c r="AC83" s="437"/>
      <c r="AD83" s="437" t="s">
        <v>1102</v>
      </c>
      <c r="AE83" s="437"/>
      <c r="AF83" s="437"/>
      <c r="AG83" s="437"/>
      <c r="AH83" s="437"/>
      <c r="AI83" s="437"/>
      <c r="AJ83" s="437"/>
      <c r="AK83" s="437"/>
    </row>
    <row r="84" spans="1:37" x14ac:dyDescent="0.25">
      <c r="B84" s="78"/>
      <c r="C84" s="92"/>
      <c r="D84" s="92"/>
      <c r="E84" s="92" t="str">
        <f>IF(AND(OR(E82="R",E83="R"),D82=D83), "hov du skal lave 2 forskellige ionforbindelser - du må ikke bare skrive den samme 2 gange","")</f>
        <v/>
      </c>
      <c r="F84" s="92"/>
      <c r="G84" s="92"/>
      <c r="H84" s="92"/>
      <c r="I84" s="92"/>
      <c r="J84" s="92"/>
      <c r="K84" s="80"/>
      <c r="M84" s="11"/>
      <c r="Y84" s="11"/>
      <c r="AA84" s="437"/>
      <c r="AB84" s="437"/>
      <c r="AC84" s="437"/>
      <c r="AD84" s="437"/>
      <c r="AE84" s="437"/>
      <c r="AF84" s="437"/>
      <c r="AG84" s="437"/>
      <c r="AH84" s="437"/>
      <c r="AI84" s="437"/>
      <c r="AJ84" s="437"/>
      <c r="AK84" s="437"/>
    </row>
    <row r="85" spans="1:37" x14ac:dyDescent="0.25">
      <c r="B85" s="78" t="str" cm="1">
        <f t="array" ref="B85">IF(AND(E82:E83="R"),"Sejt! - Nu er du klar til af afstemme reaktionsskemaet med koefficienter - hvis der ikke skal være nogen koefficient, skal du skrive 1","Udfyld ovenstående lyseblå felter, inden du går videre")</f>
        <v>Udfyld ovenstående lyseblå felter, inden du går videre</v>
      </c>
      <c r="C85" s="92"/>
      <c r="D85" s="92"/>
      <c r="E85" s="92"/>
      <c r="F85" s="92"/>
      <c r="G85" s="92"/>
      <c r="H85" s="92"/>
      <c r="I85" s="92"/>
      <c r="J85" s="92"/>
      <c r="K85" s="80"/>
      <c r="M85" s="11"/>
      <c r="Y85" s="11"/>
      <c r="AA85" s="437"/>
      <c r="AB85" s="437"/>
      <c r="AC85" s="437"/>
      <c r="AD85" s="437"/>
      <c r="AE85" s="437"/>
      <c r="AF85" s="437"/>
      <c r="AG85" s="437"/>
      <c r="AH85" s="437"/>
      <c r="AI85" s="437"/>
      <c r="AJ85" s="437"/>
      <c r="AK85" s="437"/>
    </row>
    <row r="86" spans="1:37" ht="18.75" x14ac:dyDescent="0.3">
      <c r="B86" s="265" t="s">
        <v>85</v>
      </c>
      <c r="C86" s="272"/>
      <c r="D86" s="273" t="str">
        <f>IF(E77="R",D77&amp;"   +","")</f>
        <v/>
      </c>
      <c r="E86" s="274"/>
      <c r="F86" s="273" t="str">
        <f>IF(J77="R",I77,"")</f>
        <v/>
      </c>
      <c r="G86" s="273" t="s">
        <v>48</v>
      </c>
      <c r="H86" s="274"/>
      <c r="I86" s="273" t="str">
        <f>IF(OR(D82=AB82,D83=AB82),AB82&amp;"   +","")</f>
        <v/>
      </c>
      <c r="J86" s="274"/>
      <c r="K86" s="275" t="str">
        <f>IF(OR(D82=AB83,D83=AB83),AB83,"")</f>
        <v/>
      </c>
      <c r="M86" s="11"/>
      <c r="Y86" s="11"/>
      <c r="AA86" s="437">
        <v>1</v>
      </c>
      <c r="AB86" s="437"/>
      <c r="AC86" s="437">
        <v>3</v>
      </c>
      <c r="AD86" s="437"/>
      <c r="AE86" s="437"/>
      <c r="AF86" s="437">
        <v>2</v>
      </c>
      <c r="AG86" s="437"/>
      <c r="AH86" s="437">
        <v>3</v>
      </c>
      <c r="AI86" s="437"/>
      <c r="AJ86" s="437"/>
      <c r="AK86" s="437"/>
    </row>
    <row r="87" spans="1:37" ht="18.75" x14ac:dyDescent="0.3">
      <c r="B87" s="265" t="s">
        <v>283</v>
      </c>
      <c r="C87" s="278"/>
      <c r="D87" s="279" t="str">
        <f>C74</f>
        <v>aluminiumsulfat</v>
      </c>
      <c r="E87" s="278"/>
      <c r="F87" s="279" t="str">
        <f>H74</f>
        <v>bariumchlorid</v>
      </c>
      <c r="G87" s="279"/>
      <c r="H87" s="278"/>
      <c r="I87" s="279" t="str">
        <f>IF(OR(F82=AD82,F83=AD82),AD82,"")</f>
        <v/>
      </c>
      <c r="J87" s="278"/>
      <c r="K87" s="279" t="str">
        <f>IF(OR(F82=AD83,F83=AD83),AD83,"")</f>
        <v/>
      </c>
      <c r="M87" s="11"/>
      <c r="Y87" s="11"/>
      <c r="AA87" s="437"/>
      <c r="AB87" s="437"/>
      <c r="AC87" s="437"/>
      <c r="AD87" s="437"/>
      <c r="AE87" s="437"/>
      <c r="AF87" s="437"/>
      <c r="AG87" s="437"/>
      <c r="AH87" s="437"/>
      <c r="AI87" s="437"/>
      <c r="AJ87" s="437"/>
      <c r="AK87" s="437"/>
    </row>
    <row r="88" spans="1:37" ht="18.75" x14ac:dyDescent="0.3">
      <c r="B88" s="280" t="s">
        <v>123</v>
      </c>
      <c r="C88" s="265" t="str">
        <f>IF(C86=AA86,"R",IF(C86="","","F"))</f>
        <v/>
      </c>
      <c r="D88" s="280"/>
      <c r="E88" s="265" t="str">
        <f>IF(E86=AC86,"R",IF(E86="","","F"))</f>
        <v/>
      </c>
      <c r="F88" s="265"/>
      <c r="G88" s="265"/>
      <c r="H88" s="265" t="str">
        <f>IF(H86=AF86,"R",IF(H86="","","F"))</f>
        <v/>
      </c>
      <c r="I88" s="265"/>
      <c r="J88" s="265" t="str">
        <f>IF(J86=AH86,"R",IF(J86="","","F"))</f>
        <v/>
      </c>
      <c r="K88" s="263"/>
      <c r="M88" s="11"/>
      <c r="Y88" s="11"/>
      <c r="AA88" s="437"/>
      <c r="AB88" s="437"/>
      <c r="AC88" s="437"/>
      <c r="AD88" s="437"/>
      <c r="AE88" s="437"/>
      <c r="AF88" s="437"/>
      <c r="AG88" s="437"/>
      <c r="AH88" s="437"/>
      <c r="AI88" s="437"/>
      <c r="AJ88" s="437"/>
      <c r="AK88" s="437"/>
    </row>
    <row r="89" spans="1:37" x14ac:dyDescent="0.25">
      <c r="B89" s="88"/>
      <c r="C89" s="96"/>
      <c r="D89" s="96"/>
      <c r="E89" s="96"/>
      <c r="F89" s="96"/>
      <c r="G89" s="96"/>
      <c r="H89" s="96"/>
      <c r="I89" s="96"/>
      <c r="J89" s="96"/>
      <c r="K89" s="86"/>
      <c r="M89" s="11"/>
      <c r="Y89" s="11"/>
      <c r="AA89" s="437"/>
      <c r="AB89" s="437"/>
      <c r="AC89" s="437"/>
      <c r="AD89" s="437"/>
      <c r="AE89" s="437"/>
      <c r="AF89" s="437"/>
      <c r="AG89" s="437"/>
      <c r="AH89" s="437"/>
      <c r="AI89" s="437"/>
      <c r="AJ89" s="437"/>
      <c r="AK89" s="437"/>
    </row>
    <row r="90" spans="1:37" x14ac:dyDescent="0.25">
      <c r="A90" s="18"/>
      <c r="B90" s="87" t="str">
        <f>IF(AND(C88="R",E88="R",H88="R",J88="R"),"Flot det endelige reaktionsskema er nemlig:                Al₂(SO₄)₃ (aq) + 3BaCl₂ (aq) ⟶ 2AlCl₃ (aq) + 3BaSO₄ (s)                      Bemærk at bariumsulfat vil udfældes","")</f>
        <v/>
      </c>
      <c r="C90" s="96"/>
      <c r="D90" s="96"/>
      <c r="E90" s="96"/>
      <c r="F90" s="96"/>
      <c r="G90" s="96"/>
      <c r="H90" s="96"/>
      <c r="I90" s="96"/>
      <c r="J90" s="96"/>
      <c r="K90" s="86"/>
      <c r="M90" s="11"/>
      <c r="Y90" s="11"/>
      <c r="AA90" s="437"/>
      <c r="AB90" s="437"/>
      <c r="AC90" s="437"/>
      <c r="AD90" s="437"/>
      <c r="AE90" s="437"/>
      <c r="AF90" s="437"/>
      <c r="AG90" s="437"/>
      <c r="AH90" s="437"/>
      <c r="AI90" s="437"/>
      <c r="AJ90" s="437"/>
      <c r="AK90" s="437"/>
    </row>
    <row r="91" spans="1:37" x14ac:dyDescent="0.25">
      <c r="A91" s="18"/>
      <c r="B91" s="79"/>
      <c r="C91" s="92"/>
      <c r="D91" s="92"/>
      <c r="E91" s="92"/>
      <c r="F91" s="92"/>
      <c r="G91" s="92"/>
      <c r="H91" s="92"/>
      <c r="I91" s="92"/>
      <c r="J91" s="92"/>
      <c r="K91" s="80"/>
      <c r="M91" s="11"/>
      <c r="Y91" s="11"/>
      <c r="AA91" s="437"/>
      <c r="AB91" s="437"/>
      <c r="AC91" s="437"/>
      <c r="AD91" s="437"/>
      <c r="AE91" s="437"/>
      <c r="AF91" s="437"/>
      <c r="AG91" s="437"/>
      <c r="AH91" s="437"/>
      <c r="AI91" s="437"/>
      <c r="AJ91" s="437"/>
      <c r="AK91" s="437"/>
    </row>
    <row r="92" spans="1:37" x14ac:dyDescent="0.25">
      <c r="A92" s="18"/>
      <c r="B92" s="79"/>
      <c r="C92" s="92"/>
      <c r="D92" s="92"/>
      <c r="E92" s="92"/>
      <c r="F92" s="92"/>
      <c r="G92" s="92"/>
      <c r="H92" s="92"/>
      <c r="I92" s="92"/>
      <c r="J92" s="92"/>
      <c r="K92" s="80"/>
      <c r="M92" s="11"/>
      <c r="Y92" s="11"/>
      <c r="AA92" s="437"/>
      <c r="AB92" s="437"/>
      <c r="AC92" s="437"/>
      <c r="AD92" s="437"/>
      <c r="AE92" s="437"/>
      <c r="AF92" s="437"/>
      <c r="AG92" s="437"/>
      <c r="AH92" s="437"/>
      <c r="AI92" s="437"/>
      <c r="AJ92" s="437"/>
      <c r="AK92" s="437"/>
    </row>
    <row r="93" spans="1:37" ht="28.5" x14ac:dyDescent="0.45">
      <c r="B93" s="89" t="s">
        <v>328</v>
      </c>
      <c r="C93" s="90"/>
      <c r="D93" s="90"/>
      <c r="E93" s="90"/>
      <c r="F93" s="90"/>
      <c r="G93" s="90"/>
      <c r="H93" s="90"/>
      <c r="I93" s="90"/>
      <c r="J93" s="90"/>
      <c r="K93" s="85"/>
      <c r="M93" s="11"/>
      <c r="Y93" s="11"/>
      <c r="AA93" s="437"/>
      <c r="AB93" s="437"/>
      <c r="AC93" s="437"/>
      <c r="AD93" s="437"/>
      <c r="AE93" s="437"/>
      <c r="AF93" s="437"/>
      <c r="AG93" s="437"/>
      <c r="AH93" s="437"/>
      <c r="AI93" s="437"/>
      <c r="AJ93" s="437"/>
      <c r="AK93" s="437"/>
    </row>
    <row r="94" spans="1:37" x14ac:dyDescent="0.25">
      <c r="B94" s="78" t="s">
        <v>474</v>
      </c>
      <c r="C94" s="92"/>
      <c r="D94" s="92"/>
      <c r="E94" s="92"/>
      <c r="F94" s="92"/>
      <c r="G94" s="92"/>
      <c r="H94" s="92"/>
      <c r="I94" s="92"/>
      <c r="J94" s="92"/>
      <c r="K94" s="80"/>
      <c r="M94" s="11"/>
      <c r="Y94" s="11"/>
      <c r="AA94" s="437"/>
      <c r="AB94" s="437"/>
      <c r="AC94" s="437"/>
      <c r="AD94" s="437"/>
      <c r="AE94" s="437"/>
      <c r="AF94" s="437"/>
      <c r="AG94" s="437"/>
      <c r="AH94" s="437"/>
      <c r="AI94" s="437"/>
      <c r="AJ94" s="437"/>
      <c r="AK94" s="437"/>
    </row>
    <row r="95" spans="1:37" x14ac:dyDescent="0.25">
      <c r="B95" s="78"/>
      <c r="C95" s="92"/>
      <c r="D95" s="92"/>
      <c r="E95" s="92"/>
      <c r="F95" s="92"/>
      <c r="G95" s="92"/>
      <c r="H95" s="92"/>
      <c r="I95" s="92"/>
      <c r="J95" s="92"/>
      <c r="K95" s="80"/>
      <c r="M95" s="11"/>
      <c r="Y95" s="11"/>
      <c r="AA95" s="437"/>
      <c r="AB95" s="437"/>
      <c r="AC95" s="437"/>
      <c r="AD95" s="437"/>
      <c r="AE95" s="437"/>
      <c r="AF95" s="437"/>
      <c r="AG95" s="437"/>
      <c r="AH95" s="437"/>
      <c r="AI95" s="437"/>
      <c r="AJ95" s="437"/>
      <c r="AK95" s="437"/>
    </row>
    <row r="96" spans="1:37" ht="18.75" x14ac:dyDescent="0.3">
      <c r="B96" s="263" t="s">
        <v>225</v>
      </c>
      <c r="C96" s="264" t="s">
        <v>338</v>
      </c>
      <c r="D96" s="264" t="s">
        <v>263</v>
      </c>
      <c r="E96" s="264" t="s">
        <v>123</v>
      </c>
      <c r="F96" s="92"/>
      <c r="G96" s="265" t="s">
        <v>225</v>
      </c>
      <c r="H96" s="264" t="s">
        <v>339</v>
      </c>
      <c r="I96" s="264" t="s">
        <v>263</v>
      </c>
      <c r="J96" s="264" t="s">
        <v>123</v>
      </c>
      <c r="K96" s="80"/>
      <c r="M96" s="11"/>
      <c r="Y96" s="11"/>
      <c r="AA96" s="437"/>
      <c r="AB96" s="437"/>
      <c r="AC96" s="437"/>
      <c r="AD96" s="437"/>
      <c r="AE96" s="437"/>
      <c r="AF96" s="437"/>
      <c r="AG96" s="437"/>
      <c r="AH96" s="437"/>
      <c r="AI96" s="437"/>
      <c r="AJ96" s="437"/>
      <c r="AK96" s="437"/>
    </row>
    <row r="97" spans="2:37" ht="18.75" x14ac:dyDescent="0.3">
      <c r="B97" s="266" t="s">
        <v>281</v>
      </c>
      <c r="C97" s="12"/>
      <c r="D97" s="264" t="str">
        <f>IF(E97="R",AB97,"")</f>
        <v/>
      </c>
      <c r="E97" s="265" t="str">
        <f>IF(OR(TRIM(C97)=AA97,TRIM(C97)=AB97),"R",IF(C97="","","F"))</f>
        <v/>
      </c>
      <c r="F97" s="92"/>
      <c r="G97" s="264" t="s">
        <v>258</v>
      </c>
      <c r="H97" s="12"/>
      <c r="I97" s="264" t="str">
        <f>IF(J97="R",AH97,"")</f>
        <v/>
      </c>
      <c r="J97" s="265" t="str">
        <f>IF(OR(TRIM(H97)=AG97,TRIM(H97)=AH97),"R",IF(H97="","","F"))</f>
        <v/>
      </c>
      <c r="K97" s="80"/>
      <c r="M97" s="11"/>
      <c r="Y97" s="11"/>
      <c r="AA97" s="437" t="s">
        <v>340</v>
      </c>
      <c r="AB97" s="437" t="s">
        <v>195</v>
      </c>
      <c r="AC97" s="437"/>
      <c r="AD97" s="437"/>
      <c r="AE97" s="437"/>
      <c r="AF97" s="437"/>
      <c r="AG97" s="437" t="s">
        <v>343</v>
      </c>
      <c r="AH97" s="437" t="s">
        <v>431</v>
      </c>
      <c r="AI97" s="437"/>
      <c r="AJ97" s="437"/>
      <c r="AK97" s="437"/>
    </row>
    <row r="98" spans="2:37" ht="18.75" x14ac:dyDescent="0.3">
      <c r="B98" s="266" t="s">
        <v>282</v>
      </c>
      <c r="C98" s="12"/>
      <c r="D98" s="264" t="str">
        <f>IF(E98="R",AB98,"")</f>
        <v/>
      </c>
      <c r="E98" s="265" t="str">
        <f>IF(OR(TRIM(C98)=AA98,TRIM(C98)=AB98),"R",IF(C98="","","F"))</f>
        <v/>
      </c>
      <c r="F98" s="92"/>
      <c r="G98" s="264" t="s">
        <v>259</v>
      </c>
      <c r="H98" s="12"/>
      <c r="I98" s="264" t="str">
        <f>IF(J98="R",AH98,"")</f>
        <v/>
      </c>
      <c r="J98" s="265" t="str">
        <f>IF(OR(TRIM(H98)=AG98,TRIM(H98)=AH98),"R",IF(H98="","","F"))</f>
        <v/>
      </c>
      <c r="K98" s="80"/>
      <c r="M98" s="11"/>
      <c r="Y98" s="11"/>
      <c r="AA98" s="437" t="s">
        <v>268</v>
      </c>
      <c r="AB98" s="437" t="s">
        <v>158</v>
      </c>
      <c r="AC98" s="437"/>
      <c r="AD98" s="437"/>
      <c r="AE98" s="437"/>
      <c r="AF98" s="437"/>
      <c r="AG98" s="437" t="s">
        <v>344</v>
      </c>
      <c r="AH98" s="437" t="s">
        <v>432</v>
      </c>
      <c r="AI98" s="437"/>
      <c r="AJ98" s="437"/>
      <c r="AK98" s="437"/>
    </row>
    <row r="99" spans="2:37" ht="18.75" x14ac:dyDescent="0.3">
      <c r="B99" s="266" t="s">
        <v>265</v>
      </c>
      <c r="C99" s="12"/>
      <c r="D99" s="264" t="str">
        <f>IF(E99="R",AB99,"")</f>
        <v/>
      </c>
      <c r="E99" s="265" t="str">
        <f>IF(OR(TRIM(C99)=AA99,TRIM(C99)=AB99),"R",IF(C99="","","F"))</f>
        <v/>
      </c>
      <c r="F99" s="92"/>
      <c r="G99" s="264" t="s">
        <v>264</v>
      </c>
      <c r="H99" s="12"/>
      <c r="I99" s="264" t="str">
        <f>IF(J99="R",AH99,"")</f>
        <v/>
      </c>
      <c r="J99" s="265" t="str">
        <f>IF(OR(TRIM(H99)=AG99,TRIM(H99)=AH99),"R",IF(H99="","","F"))</f>
        <v/>
      </c>
      <c r="K99" s="80"/>
      <c r="M99" s="11"/>
      <c r="Y99" s="11"/>
      <c r="AA99" s="437" t="s">
        <v>341</v>
      </c>
      <c r="AB99" s="437" t="s">
        <v>430</v>
      </c>
      <c r="AC99" s="437"/>
      <c r="AD99" s="437"/>
      <c r="AE99" s="437"/>
      <c r="AF99" s="437"/>
      <c r="AG99" s="437" t="s">
        <v>342</v>
      </c>
      <c r="AH99" s="437" t="s">
        <v>433</v>
      </c>
      <c r="AI99" s="437"/>
      <c r="AJ99" s="437"/>
      <c r="AK99" s="437"/>
    </row>
    <row r="100" spans="2:37" x14ac:dyDescent="0.25">
      <c r="B100" s="78"/>
      <c r="C100" s="92"/>
      <c r="D100" s="92"/>
      <c r="E100" s="92"/>
      <c r="F100" s="92"/>
      <c r="G100" s="92"/>
      <c r="H100" s="92" t="str">
        <f>IF(H99="nh42co3","du skal skrive paranteser rundt om sammensatte ioner, når der er flere end en", "")</f>
        <v/>
      </c>
      <c r="I100" s="92"/>
      <c r="J100" s="92"/>
      <c r="K100" s="80"/>
      <c r="M100" s="11"/>
      <c r="Y100" s="11"/>
      <c r="AA100" s="437"/>
      <c r="AB100" s="437"/>
      <c r="AC100" s="437"/>
      <c r="AD100" s="437"/>
      <c r="AE100" s="437"/>
      <c r="AF100" s="437"/>
      <c r="AG100" s="437"/>
      <c r="AH100" s="437"/>
      <c r="AI100" s="437"/>
      <c r="AJ100" s="437"/>
      <c r="AK100" s="437"/>
    </row>
    <row r="101" spans="2:37" x14ac:dyDescent="0.25">
      <c r="B101" s="78"/>
      <c r="C101" s="92"/>
      <c r="D101" s="92"/>
      <c r="E101" s="92"/>
      <c r="F101" s="92"/>
      <c r="G101" s="92"/>
      <c r="H101" s="92"/>
      <c r="I101" s="92"/>
      <c r="J101" s="92"/>
      <c r="K101" s="80"/>
      <c r="M101" s="11"/>
      <c r="Y101" s="11"/>
      <c r="AA101" s="437"/>
      <c r="AB101" s="437"/>
      <c r="AC101" s="437"/>
      <c r="AD101" s="437"/>
      <c r="AE101" s="437"/>
      <c r="AF101" s="437"/>
      <c r="AG101" s="437"/>
      <c r="AH101" s="437"/>
      <c r="AI101" s="437"/>
      <c r="AJ101" s="437"/>
      <c r="AK101" s="437"/>
    </row>
    <row r="102" spans="2:37" x14ac:dyDescent="0.25">
      <c r="B102" s="78" t="str" cm="1">
        <f t="array" ref="B102">IF(AND(E104:E105="R",G104:G105="R"),"",IF(AND(E97:E99="R",J97:J99="R"),"Flot! - Sammensæt opløsningens ioner, således du danner 2 nye neutrale ionforbindelser","Udfyld ovenstående lyseblå felter, inden du går videre"))</f>
        <v>Udfyld ovenstående lyseblå felter, inden du går videre</v>
      </c>
      <c r="C102" s="92"/>
      <c r="D102" s="92"/>
      <c r="E102" s="92"/>
      <c r="F102" s="92"/>
      <c r="G102" s="92"/>
      <c r="H102" s="92"/>
      <c r="I102" s="92"/>
      <c r="J102" s="92"/>
      <c r="K102" s="80"/>
      <c r="M102" s="11"/>
      <c r="Y102" s="11"/>
      <c r="AA102" s="437"/>
      <c r="AB102" s="437"/>
      <c r="AC102" s="437"/>
      <c r="AD102" s="437"/>
      <c r="AE102" s="437"/>
      <c r="AF102" s="437"/>
      <c r="AG102" s="437"/>
      <c r="AH102" s="437"/>
      <c r="AI102" s="437"/>
      <c r="AJ102" s="437"/>
      <c r="AK102" s="437"/>
    </row>
    <row r="103" spans="2:37" ht="18.75" x14ac:dyDescent="0.3">
      <c r="B103" s="263" t="s">
        <v>1027</v>
      </c>
      <c r="C103" s="264" t="str" cm="1">
        <f t="array" ref="C103">IF(AND(E97:E99="R",J97:J99="R"),"Kemisk formel","")</f>
        <v/>
      </c>
      <c r="D103" s="264" t="str" cm="1">
        <f t="array" ref="D103">IF(AND(E97:E99="R",J97:J99="R"),"Opskrevet korrekt","")</f>
        <v/>
      </c>
      <c r="E103" s="264" t="str" cm="1">
        <f t="array" ref="E103">IF(AND(E97:E99="R",J97:J99="R"),"Tjek","")</f>
        <v/>
      </c>
      <c r="F103" s="264" t="str" cm="1">
        <f t="array" ref="F103">IF(AND(E97:E99="R",J97:J99="R"),"Navne på de nye ionforbindelser","")</f>
        <v/>
      </c>
      <c r="G103" s="264" t="str" cm="1">
        <f t="array" ref="G103">IF(AND(E97:E99="R",J97:J99="R"),"Tjek:","")</f>
        <v/>
      </c>
      <c r="H103" s="92"/>
      <c r="I103" s="92"/>
      <c r="J103" s="92"/>
      <c r="K103" s="80"/>
      <c r="M103" s="11"/>
      <c r="Y103" s="11"/>
      <c r="AA103" s="437"/>
      <c r="AB103" s="437"/>
      <c r="AC103" s="437"/>
      <c r="AD103" s="437"/>
      <c r="AE103" s="437"/>
      <c r="AF103" s="437"/>
      <c r="AG103" s="437"/>
      <c r="AH103" s="437"/>
      <c r="AI103" s="437"/>
      <c r="AJ103" s="437"/>
      <c r="AK103" s="437"/>
    </row>
    <row r="104" spans="2:37" ht="18.75" x14ac:dyDescent="0.3">
      <c r="B104" s="268" t="s">
        <v>279</v>
      </c>
      <c r="C104" s="269"/>
      <c r="D104" s="270" t="str">
        <f>IF(OR(C104=AA105,AB105=C104),AB105,IF(OR(C104=AA104,C104=AB104),AB104,""))</f>
        <v/>
      </c>
      <c r="E104" s="271" t="str">
        <f>IF(OR(TRIM(C104)=AA104,TRIM(C104)=AB104,TRIM(C104)=AA105,TRIM(C104)=AB105),"R",IF(D104="","","F"))</f>
        <v/>
      </c>
      <c r="F104" s="269"/>
      <c r="G104" s="271" t="str">
        <f>IF(OR(F104=AD104,F104=AD105),"R",IF(F104="","","F"))</f>
        <v/>
      </c>
      <c r="H104" s="92"/>
      <c r="I104" s="92"/>
      <c r="J104" s="92"/>
      <c r="K104" s="80"/>
      <c r="M104" s="11"/>
      <c r="Y104" s="11"/>
      <c r="AA104" s="437" t="s">
        <v>345</v>
      </c>
      <c r="AB104" s="437" t="s">
        <v>434</v>
      </c>
      <c r="AC104" s="437"/>
      <c r="AD104" s="437" t="s">
        <v>356</v>
      </c>
      <c r="AE104" s="437"/>
      <c r="AF104" s="437"/>
      <c r="AG104" s="437"/>
      <c r="AH104" s="437"/>
      <c r="AI104" s="437"/>
      <c r="AJ104" s="437"/>
      <c r="AK104" s="437"/>
    </row>
    <row r="105" spans="2:37" ht="18.75" x14ac:dyDescent="0.3">
      <c r="B105" s="266" t="s">
        <v>280</v>
      </c>
      <c r="C105" s="267"/>
      <c r="D105" s="264" t="str">
        <f>IF(OR(C105=AA105,AB105=C105),AB105,IF(OR(C105=AA104,C105=AB104),AB104,""))</f>
        <v/>
      </c>
      <c r="E105" s="271" t="str">
        <f>IF(AND(D105&lt;&gt;"",D104=D105),"F",IF(OR(TRIM(C105)=AA104,TRIM(C105)=AB104,TRIM(C105)=AA105,TRIM(C105)=AB105),"R",IF(D105="","","F")))</f>
        <v/>
      </c>
      <c r="F105" s="267"/>
      <c r="G105" s="265" t="str">
        <f>IF(OR(F105=AD105,F105=AD104),"R",IF(F105="","","F"))</f>
        <v/>
      </c>
      <c r="H105" s="92"/>
      <c r="I105" s="92"/>
      <c r="J105" s="92"/>
      <c r="K105" s="80"/>
      <c r="M105" s="11"/>
      <c r="Y105" s="11"/>
      <c r="AA105" s="437" t="s">
        <v>346</v>
      </c>
      <c r="AB105" s="437" t="s">
        <v>435</v>
      </c>
      <c r="AC105" s="437"/>
      <c r="AD105" s="437" t="s">
        <v>355</v>
      </c>
      <c r="AE105" s="437"/>
      <c r="AF105" s="437"/>
      <c r="AG105" s="437"/>
      <c r="AH105" s="437"/>
      <c r="AI105" s="437"/>
      <c r="AJ105" s="437"/>
      <c r="AK105" s="437"/>
    </row>
    <row r="106" spans="2:37" x14ac:dyDescent="0.25">
      <c r="B106" s="78"/>
      <c r="C106" s="92"/>
      <c r="D106" s="92"/>
      <c r="E106" s="92" t="str">
        <f>IF(AND(OR(E104="R",E105="R"),D104=D105), "hov du skal lave 2 forskellige ionforbindelser - du må ikke bare skrive den samme 2 gange","")</f>
        <v/>
      </c>
      <c r="F106" s="92"/>
      <c r="G106" s="92"/>
      <c r="H106" s="92"/>
      <c r="I106" s="92"/>
      <c r="J106" s="92"/>
      <c r="K106" s="80"/>
      <c r="M106" s="11"/>
      <c r="Y106" s="11"/>
      <c r="AA106" s="437"/>
      <c r="AB106" s="437"/>
      <c r="AC106" s="437"/>
      <c r="AD106" s="437"/>
      <c r="AE106" s="437"/>
      <c r="AF106" s="437"/>
      <c r="AG106" s="437"/>
      <c r="AH106" s="437"/>
      <c r="AI106" s="437"/>
      <c r="AJ106" s="437"/>
      <c r="AK106" s="437"/>
    </row>
    <row r="107" spans="2:37" x14ac:dyDescent="0.25">
      <c r="B107" s="78" t="str" cm="1">
        <f t="array" ref="B107">IF(AND(E104:E105="R"),"Sejt! - Nu er du klar til af afstemme reaktionsskemaet med koefficienter - hvis der ikke skal være nogen koefficient, skal du skrive 1","Udfyld ovenstående lyseblå felter, inden du går videre")</f>
        <v>Udfyld ovenstående lyseblå felter, inden du går videre</v>
      </c>
      <c r="C107" s="92"/>
      <c r="D107" s="92"/>
      <c r="E107" s="92"/>
      <c r="F107" s="92"/>
      <c r="G107" s="92"/>
      <c r="H107" s="92"/>
      <c r="I107" s="92"/>
      <c r="J107" s="92"/>
      <c r="K107" s="80"/>
      <c r="M107" s="11"/>
      <c r="Y107" s="11"/>
      <c r="AA107" s="437"/>
      <c r="AB107" s="437"/>
      <c r="AC107" s="437"/>
      <c r="AD107" s="437"/>
      <c r="AE107" s="437"/>
      <c r="AF107" s="437"/>
      <c r="AG107" s="437"/>
      <c r="AH107" s="437"/>
      <c r="AI107" s="437"/>
      <c r="AJ107" s="437"/>
      <c r="AK107" s="437"/>
    </row>
    <row r="108" spans="2:37" ht="18.75" x14ac:dyDescent="0.3">
      <c r="B108" s="265" t="s">
        <v>91</v>
      </c>
      <c r="C108" s="272"/>
      <c r="D108" s="273" t="str">
        <f>IF(E99="R",D99&amp;"   +","")</f>
        <v/>
      </c>
      <c r="E108" s="274"/>
      <c r="F108" s="273" t="str">
        <f>IF(J99="R",I99,"")</f>
        <v/>
      </c>
      <c r="G108" s="273" t="s">
        <v>48</v>
      </c>
      <c r="H108" s="274"/>
      <c r="I108" s="273" t="str">
        <f>IF(OR(D104=AB104,D105=AB104),AB104&amp;"   +","")</f>
        <v/>
      </c>
      <c r="J108" s="274"/>
      <c r="K108" s="275" t="str">
        <f>IF(OR(D104=AB105,D105=AB105),AB105,"")</f>
        <v/>
      </c>
      <c r="M108" s="11"/>
      <c r="Y108" s="11"/>
      <c r="AA108" s="437">
        <v>1</v>
      </c>
      <c r="AB108" s="437"/>
      <c r="AC108" s="437">
        <v>1</v>
      </c>
      <c r="AD108" s="437"/>
      <c r="AE108" s="437"/>
      <c r="AF108" s="437">
        <v>2</v>
      </c>
      <c r="AG108" s="437"/>
      <c r="AH108" s="437">
        <v>1</v>
      </c>
      <c r="AI108" s="437"/>
      <c r="AJ108" s="437"/>
      <c r="AK108" s="437"/>
    </row>
    <row r="109" spans="2:37" ht="18.75" x14ac:dyDescent="0.3">
      <c r="B109" s="265" t="s">
        <v>283</v>
      </c>
      <c r="C109" s="278"/>
      <c r="D109" s="279" t="str">
        <f>C96</f>
        <v>Kaliumcarbonat</v>
      </c>
      <c r="E109" s="278"/>
      <c r="F109" s="279" t="str">
        <f>H96</f>
        <v>Zinkiodid</v>
      </c>
      <c r="G109" s="279"/>
      <c r="H109" s="278"/>
      <c r="I109" s="279" t="str">
        <f>IF(OR(F104=AD104,F105=AD104),AD104,"")</f>
        <v/>
      </c>
      <c r="J109" s="278"/>
      <c r="K109" s="279" t="str">
        <f>IF(OR(F104=AD105,F105=AD105),AD105,"")</f>
        <v/>
      </c>
      <c r="M109" s="11"/>
      <c r="Y109" s="11"/>
      <c r="AA109" s="437"/>
      <c r="AB109" s="437"/>
      <c r="AC109" s="437"/>
      <c r="AD109" s="437"/>
      <c r="AE109" s="437"/>
      <c r="AF109" s="437"/>
      <c r="AG109" s="437"/>
      <c r="AH109" s="437"/>
      <c r="AI109" s="437"/>
      <c r="AJ109" s="437"/>
      <c r="AK109" s="437"/>
    </row>
    <row r="110" spans="2:37" ht="18.75" x14ac:dyDescent="0.3">
      <c r="B110" s="280" t="s">
        <v>123</v>
      </c>
      <c r="C110" s="265" t="str">
        <f>IF(C108=AA108,"R",IF(C108="","","F"))</f>
        <v/>
      </c>
      <c r="D110" s="280"/>
      <c r="E110" s="265" t="str">
        <f>IF(E108=AC108,"R",IF(E108="","","F"))</f>
        <v/>
      </c>
      <c r="F110" s="265"/>
      <c r="G110" s="265"/>
      <c r="H110" s="265" t="str">
        <f>IF(H108=AF108,"R",IF(H108="","","F"))</f>
        <v/>
      </c>
      <c r="I110" s="265"/>
      <c r="J110" s="265" t="str">
        <f>IF(J108=AH108,"R",IF(J108="","","F"))</f>
        <v/>
      </c>
      <c r="K110" s="263"/>
      <c r="M110" s="11"/>
      <c r="Y110" s="11"/>
      <c r="AA110" s="437"/>
      <c r="AB110" s="437"/>
      <c r="AC110" s="437"/>
      <c r="AD110" s="437"/>
      <c r="AE110" s="437"/>
      <c r="AF110" s="437"/>
      <c r="AG110" s="437"/>
      <c r="AH110" s="437"/>
      <c r="AI110" s="437"/>
      <c r="AJ110" s="437"/>
      <c r="AK110" s="437"/>
    </row>
    <row r="111" spans="2:37" x14ac:dyDescent="0.25">
      <c r="B111" s="88"/>
      <c r="C111" s="96"/>
      <c r="D111" s="96"/>
      <c r="E111" s="96"/>
      <c r="F111" s="96"/>
      <c r="G111" s="96"/>
      <c r="H111" s="96"/>
      <c r="I111" s="96"/>
      <c r="J111" s="96"/>
      <c r="K111" s="86"/>
      <c r="M111" s="11"/>
      <c r="Y111" s="11"/>
      <c r="AA111" s="437"/>
      <c r="AB111" s="437"/>
      <c r="AC111" s="437"/>
      <c r="AD111" s="437"/>
      <c r="AE111" s="437"/>
      <c r="AF111" s="437"/>
      <c r="AG111" s="437"/>
      <c r="AH111" s="437"/>
      <c r="AI111" s="437"/>
      <c r="AJ111" s="437"/>
      <c r="AK111" s="437"/>
    </row>
    <row r="112" spans="2:37" x14ac:dyDescent="0.25">
      <c r="B112" s="87" t="str">
        <f>IF(AND(C110="R",E110="R",H110="R",J110="R"),"Flot det endelige reaktionsskema er nemlig:                K₂CO₃ (aq) + ZnI₂ (aq) ⟶ 2KI (aq) + ZnCO₃ (s)                      Bemærk at zinkcarbonat vil udfældes","")</f>
        <v/>
      </c>
      <c r="C112" s="96"/>
      <c r="D112" s="96"/>
      <c r="E112" s="96"/>
      <c r="F112" s="96"/>
      <c r="G112" s="96"/>
      <c r="H112" s="96"/>
      <c r="I112" s="96"/>
      <c r="J112" s="96"/>
      <c r="K112" s="86"/>
      <c r="M112" s="11"/>
      <c r="Y112" s="11"/>
      <c r="AA112" s="437"/>
      <c r="AB112" s="437"/>
      <c r="AC112" s="437"/>
      <c r="AD112" s="437"/>
      <c r="AE112" s="437"/>
      <c r="AF112" s="437"/>
      <c r="AG112" s="437"/>
      <c r="AH112" s="437"/>
      <c r="AI112" s="437"/>
      <c r="AJ112" s="437"/>
      <c r="AK112" s="437"/>
    </row>
    <row r="113" spans="2:37" x14ac:dyDescent="0.25">
      <c r="C113" s="28"/>
      <c r="D113" s="28"/>
      <c r="E113" s="28"/>
      <c r="F113" s="28"/>
      <c r="G113" s="28"/>
      <c r="H113" s="28"/>
      <c r="I113" s="28"/>
      <c r="J113" s="28"/>
      <c r="M113" s="11"/>
      <c r="Y113" s="11"/>
      <c r="AA113" s="437"/>
      <c r="AB113" s="437"/>
      <c r="AC113" s="437"/>
      <c r="AD113" s="437"/>
      <c r="AE113" s="437"/>
      <c r="AF113" s="437"/>
      <c r="AG113" s="437"/>
      <c r="AH113" s="437"/>
      <c r="AI113" s="437"/>
      <c r="AJ113" s="437"/>
      <c r="AK113" s="437"/>
    </row>
    <row r="114" spans="2:37" x14ac:dyDescent="0.25">
      <c r="C114" s="28"/>
      <c r="D114" s="28"/>
      <c r="E114" s="28"/>
      <c r="F114" s="28"/>
      <c r="G114" s="28"/>
      <c r="H114" s="28"/>
      <c r="I114" s="28"/>
      <c r="J114" s="28"/>
      <c r="M114" s="11"/>
      <c r="Y114" s="11"/>
      <c r="AA114" s="437"/>
      <c r="AB114" s="437"/>
      <c r="AC114" s="437"/>
      <c r="AD114" s="437"/>
      <c r="AE114" s="437"/>
      <c r="AF114" s="437"/>
      <c r="AG114" s="437"/>
      <c r="AH114" s="437"/>
      <c r="AI114" s="437"/>
      <c r="AJ114" s="437"/>
      <c r="AK114" s="437"/>
    </row>
    <row r="115" spans="2:37" ht="28.5" x14ac:dyDescent="0.45">
      <c r="B115" s="89" t="s">
        <v>329</v>
      </c>
      <c r="C115" s="90"/>
      <c r="D115" s="90"/>
      <c r="E115" s="90"/>
      <c r="F115" s="90"/>
      <c r="G115" s="90"/>
      <c r="H115" s="90"/>
      <c r="I115" s="90"/>
      <c r="J115" s="90"/>
      <c r="K115" s="85"/>
      <c r="M115" s="11"/>
      <c r="Y115" s="11"/>
      <c r="AA115" s="437"/>
      <c r="AB115" s="437"/>
      <c r="AC115" s="437"/>
      <c r="AD115" s="437"/>
      <c r="AE115" s="437"/>
      <c r="AF115" s="437"/>
      <c r="AG115" s="437"/>
      <c r="AH115" s="437"/>
      <c r="AI115" s="437"/>
      <c r="AJ115" s="437"/>
      <c r="AK115" s="437"/>
    </row>
    <row r="116" spans="2:37" x14ac:dyDescent="0.25">
      <c r="B116" s="78" t="s">
        <v>475</v>
      </c>
      <c r="C116" s="92"/>
      <c r="D116" s="92"/>
      <c r="E116" s="92"/>
      <c r="F116" s="92"/>
      <c r="G116" s="92"/>
      <c r="H116" s="92"/>
      <c r="I116" s="92"/>
      <c r="J116" s="92"/>
      <c r="K116" s="80"/>
      <c r="M116" s="11"/>
      <c r="Y116" s="11"/>
      <c r="AA116" s="437"/>
      <c r="AB116" s="437"/>
      <c r="AC116" s="437"/>
      <c r="AD116" s="437"/>
      <c r="AE116" s="437"/>
      <c r="AF116" s="437"/>
      <c r="AG116" s="437"/>
      <c r="AH116" s="437"/>
      <c r="AI116" s="437"/>
      <c r="AJ116" s="437"/>
      <c r="AK116" s="437"/>
    </row>
    <row r="117" spans="2:37" x14ac:dyDescent="0.25">
      <c r="B117" s="78"/>
      <c r="C117" s="92"/>
      <c r="D117" s="92"/>
      <c r="E117" s="92"/>
      <c r="F117" s="92"/>
      <c r="G117" s="92"/>
      <c r="H117" s="92"/>
      <c r="I117" s="92"/>
      <c r="J117" s="92"/>
      <c r="K117" s="80"/>
      <c r="M117" s="11"/>
      <c r="Y117" s="11"/>
      <c r="AA117" s="437"/>
      <c r="AB117" s="437"/>
      <c r="AC117" s="437"/>
      <c r="AD117" s="437"/>
      <c r="AE117" s="437"/>
      <c r="AF117" s="437"/>
      <c r="AG117" s="437"/>
      <c r="AH117" s="437"/>
      <c r="AI117" s="437"/>
      <c r="AJ117" s="437"/>
      <c r="AK117" s="437"/>
    </row>
    <row r="118" spans="2:37" ht="18.75" x14ac:dyDescent="0.3">
      <c r="B118" s="263" t="s">
        <v>225</v>
      </c>
      <c r="C118" s="264" t="s">
        <v>1031</v>
      </c>
      <c r="D118" s="264" t="s">
        <v>263</v>
      </c>
      <c r="E118" s="264" t="s">
        <v>123</v>
      </c>
      <c r="F118" s="92"/>
      <c r="G118" s="265" t="s">
        <v>225</v>
      </c>
      <c r="H118" s="264" t="s">
        <v>1032</v>
      </c>
      <c r="I118" s="264" t="s">
        <v>263</v>
      </c>
      <c r="J118" s="264" t="s">
        <v>123</v>
      </c>
      <c r="K118" s="80"/>
      <c r="M118" s="11"/>
      <c r="Y118" s="11"/>
      <c r="AA118" s="437"/>
      <c r="AB118" s="437"/>
      <c r="AC118" s="437"/>
      <c r="AD118" s="437"/>
      <c r="AE118" s="437"/>
      <c r="AF118" s="437"/>
      <c r="AG118" s="437"/>
      <c r="AH118" s="437"/>
      <c r="AI118" s="437"/>
      <c r="AJ118" s="437"/>
      <c r="AK118" s="437"/>
    </row>
    <row r="119" spans="2:37" ht="18.75" x14ac:dyDescent="0.3">
      <c r="B119" s="266" t="s">
        <v>281</v>
      </c>
      <c r="C119" s="12"/>
      <c r="D119" s="264" t="str">
        <f>IF(E119="R",AB119,"")</f>
        <v/>
      </c>
      <c r="E119" s="265" t="str">
        <f>IF(OR(TRIM(C119)=AA119,TRIM(C119)=AB119),"R",IF(C119="","","F"))</f>
        <v/>
      </c>
      <c r="F119" s="92"/>
      <c r="G119" s="264" t="s">
        <v>258</v>
      </c>
      <c r="H119" s="12"/>
      <c r="I119" s="264" t="str">
        <f>IF(J119="R",AH119,"")</f>
        <v/>
      </c>
      <c r="J119" s="265" t="str">
        <f>IF(OR(TRIM(H119)=AG119,TRIM(H119)=AH119),"R",IF(H119="","","F"))</f>
        <v/>
      </c>
      <c r="K119" s="80"/>
      <c r="M119" s="11"/>
      <c r="Y119" s="11"/>
      <c r="AA119" s="437" t="s">
        <v>350</v>
      </c>
      <c r="AB119" s="437" t="s">
        <v>139</v>
      </c>
      <c r="AC119" s="437"/>
      <c r="AD119" s="437"/>
      <c r="AE119" s="437"/>
      <c r="AF119" s="437"/>
      <c r="AG119" s="437" t="s">
        <v>352</v>
      </c>
      <c r="AH119" s="437" t="s">
        <v>136</v>
      </c>
      <c r="AI119" s="437"/>
      <c r="AJ119" s="437"/>
      <c r="AK119" s="437"/>
    </row>
    <row r="120" spans="2:37" ht="18.75" x14ac:dyDescent="0.3">
      <c r="B120" s="266" t="s">
        <v>282</v>
      </c>
      <c r="C120" s="12"/>
      <c r="D120" s="264" t="str">
        <f>IF(E120="R",AB120,"")</f>
        <v/>
      </c>
      <c r="E120" s="265" t="str">
        <f>IF(OR(TRIM(C120)=AA120,TRIM(C120)=AB120),"R",IF(C120="","","F"))</f>
        <v/>
      </c>
      <c r="F120" s="92"/>
      <c r="G120" s="264" t="s">
        <v>259</v>
      </c>
      <c r="H120" s="12"/>
      <c r="I120" s="264" t="str">
        <f>IF(J120="R",AH120,"")</f>
        <v/>
      </c>
      <c r="J120" s="265" t="str">
        <f>IF(OR(TRIM(H120)=AG120,TRIM(H120)=AH120),"R",IF(H120="","","F"))</f>
        <v/>
      </c>
      <c r="K120" s="80"/>
      <c r="M120" s="11"/>
      <c r="Y120" s="11"/>
      <c r="AA120" s="437" t="s">
        <v>325</v>
      </c>
      <c r="AB120" s="437" t="s">
        <v>436</v>
      </c>
      <c r="AC120" s="437"/>
      <c r="AD120" s="437"/>
      <c r="AE120" s="437"/>
      <c r="AF120" s="437"/>
      <c r="AG120" s="437" t="s">
        <v>353</v>
      </c>
      <c r="AH120" s="437" t="s">
        <v>161</v>
      </c>
      <c r="AI120" s="437"/>
      <c r="AJ120" s="437"/>
      <c r="AK120" s="437"/>
    </row>
    <row r="121" spans="2:37" ht="18.75" x14ac:dyDescent="0.3">
      <c r="B121" s="266" t="s">
        <v>265</v>
      </c>
      <c r="C121" s="12"/>
      <c r="D121" s="264" t="str">
        <f>IF(E121="R",AB121,"")</f>
        <v/>
      </c>
      <c r="E121" s="265" t="str">
        <f>IF(OR(TRIM(C121)=AA121,TRIM(C121)=AB121),"R",IF(C121="","","F"))</f>
        <v/>
      </c>
      <c r="F121" s="92"/>
      <c r="G121" s="264" t="s">
        <v>264</v>
      </c>
      <c r="H121" s="12"/>
      <c r="I121" s="264" t="str">
        <f>IF(J121="R",AH121,"")</f>
        <v/>
      </c>
      <c r="J121" s="265" t="str">
        <f>IF(OR(TRIM(H121)=AG121,TRIM(H121)=AH121),"R",IF(H121="","","F"))</f>
        <v/>
      </c>
      <c r="K121" s="80"/>
      <c r="M121" s="11"/>
      <c r="Y121" s="11"/>
      <c r="AA121" s="437" t="s">
        <v>351</v>
      </c>
      <c r="AB121" s="437" t="s">
        <v>101</v>
      </c>
      <c r="AC121" s="437"/>
      <c r="AD121" s="437"/>
      <c r="AE121" s="437"/>
      <c r="AF121" s="437"/>
      <c r="AG121" s="437" t="s">
        <v>354</v>
      </c>
      <c r="AH121" s="437" t="s">
        <v>437</v>
      </c>
      <c r="AI121" s="437"/>
      <c r="AJ121" s="437"/>
      <c r="AK121" s="437"/>
    </row>
    <row r="122" spans="2:37" x14ac:dyDescent="0.25">
      <c r="B122" s="78"/>
      <c r="C122" s="92"/>
      <c r="D122" s="92"/>
      <c r="E122" s="92"/>
      <c r="F122" s="92"/>
      <c r="G122" s="92"/>
      <c r="H122" s="92" t="str">
        <f>IF(H121="nh42co3","du skal skrive paranteser rundt om sammensatte ioner, når der er flere end en", "")</f>
        <v/>
      </c>
      <c r="I122" s="92"/>
      <c r="J122" s="92"/>
      <c r="K122" s="80"/>
      <c r="M122" s="11"/>
      <c r="Y122" s="11"/>
      <c r="AA122" s="437"/>
      <c r="AB122" s="437"/>
      <c r="AC122" s="437"/>
      <c r="AD122" s="437"/>
      <c r="AE122" s="437"/>
      <c r="AF122" s="437"/>
      <c r="AG122" s="437"/>
      <c r="AH122" s="437"/>
      <c r="AI122" s="437"/>
      <c r="AJ122" s="437"/>
      <c r="AK122" s="437"/>
    </row>
    <row r="123" spans="2:37" x14ac:dyDescent="0.25">
      <c r="B123" s="78"/>
      <c r="C123" s="92"/>
      <c r="D123" s="92"/>
      <c r="E123" s="92"/>
      <c r="F123" s="92"/>
      <c r="G123" s="92"/>
      <c r="H123" s="92"/>
      <c r="I123" s="92"/>
      <c r="J123" s="92"/>
      <c r="K123" s="80"/>
      <c r="M123" s="11"/>
      <c r="Y123" s="11"/>
      <c r="AA123" s="437"/>
      <c r="AB123" s="437"/>
      <c r="AC123" s="437"/>
      <c r="AD123" s="437"/>
      <c r="AE123" s="437"/>
      <c r="AF123" s="437"/>
      <c r="AG123" s="437"/>
      <c r="AH123" s="437"/>
      <c r="AI123" s="437"/>
      <c r="AJ123" s="437"/>
      <c r="AK123" s="437"/>
    </row>
    <row r="124" spans="2:37" x14ac:dyDescent="0.25">
      <c r="B124" s="78" t="str" cm="1">
        <f t="array" ref="B124">IF(AND(E126:E127="R",G126:G127="R"),"",IF(AND(E119:E121="R",J119:J121="R"),"Flot! - Sammensæt opløsningens ioner, således du danner 2 nye neutrale ionforbindelser","Udfyld ovenstående lyseblå felter, inden du går videre"))</f>
        <v>Udfyld ovenstående lyseblå felter, inden du går videre</v>
      </c>
      <c r="C124" s="92"/>
      <c r="D124" s="92"/>
      <c r="E124" s="92"/>
      <c r="F124" s="92"/>
      <c r="G124" s="92"/>
      <c r="H124" s="92"/>
      <c r="I124" s="92"/>
      <c r="J124" s="92"/>
      <c r="K124" s="80"/>
      <c r="M124" s="11"/>
      <c r="Y124" s="11"/>
      <c r="AA124" s="437"/>
      <c r="AB124" s="437"/>
      <c r="AC124" s="437"/>
      <c r="AD124" s="437"/>
      <c r="AE124" s="437"/>
      <c r="AF124" s="437"/>
      <c r="AG124" s="437"/>
      <c r="AH124" s="437"/>
      <c r="AI124" s="437"/>
      <c r="AJ124" s="437"/>
      <c r="AK124" s="437"/>
    </row>
    <row r="125" spans="2:37" ht="18.75" x14ac:dyDescent="0.3">
      <c r="B125" s="263" t="s">
        <v>1027</v>
      </c>
      <c r="C125" s="264" t="str" cm="1">
        <f t="array" ref="C125">IF(AND(E119:E121="R",J119:J121="R"),"Kemisk formel","")</f>
        <v/>
      </c>
      <c r="D125" s="264" t="str" cm="1">
        <f t="array" ref="D125">IF(AND(E119:E121="R",J119:J121="R"),"Opskrevet korrekt","")</f>
        <v/>
      </c>
      <c r="E125" s="264" t="str" cm="1">
        <f t="array" ref="E125">IF(AND(E119:E121="R",J119:J121="R"),"Tjek","")</f>
        <v/>
      </c>
      <c r="F125" s="264" t="str" cm="1">
        <f t="array" ref="F125">IF(AND(E119:E121="R",J119:J121="R"),"Navne på de nye ionforbindelser","")</f>
        <v/>
      </c>
      <c r="G125" s="264" t="str" cm="1">
        <f t="array" ref="G125">IF(AND(E119:E121="R",J119:J121="R"),"Tjek:","")</f>
        <v/>
      </c>
      <c r="H125" s="92"/>
      <c r="I125" s="92"/>
      <c r="J125" s="92"/>
      <c r="K125" s="80"/>
      <c r="M125" s="11"/>
      <c r="Y125" s="11"/>
      <c r="AA125" s="437"/>
      <c r="AB125" s="437"/>
      <c r="AC125" s="437"/>
      <c r="AD125" s="437"/>
      <c r="AE125" s="437"/>
      <c r="AF125" s="437"/>
      <c r="AG125" s="437"/>
      <c r="AH125" s="437"/>
      <c r="AI125" s="437"/>
      <c r="AJ125" s="437"/>
      <c r="AK125" s="437"/>
    </row>
    <row r="126" spans="2:37" ht="18.75" x14ac:dyDescent="0.3">
      <c r="B126" s="268" t="s">
        <v>279</v>
      </c>
      <c r="C126" s="269"/>
      <c r="D126" s="270" t="str">
        <f>IF(OR(C126=AA127,AB127=C126),AB127,IF(OR(C126=AA126,C126=AB126),AB126,""))</f>
        <v/>
      </c>
      <c r="E126" s="271" t="str">
        <f>IF(OR(TRIM(C126)=AA126,TRIM(C126)=AB126,TRIM(C126)=AA127,TRIM(C126)=AB127),"R",IF(D126="","","F"))</f>
        <v/>
      </c>
      <c r="F126" s="269"/>
      <c r="G126" s="271" t="str">
        <f>IF(OR(F126=AD126,F126=AD127),"R",IF(F126="","","F"))</f>
        <v/>
      </c>
      <c r="H126" s="92"/>
      <c r="I126" s="92"/>
      <c r="J126" s="92"/>
      <c r="K126" s="80"/>
      <c r="M126" s="11"/>
      <c r="Y126" s="11"/>
      <c r="AA126" s="437" t="s">
        <v>439</v>
      </c>
      <c r="AB126" s="437" t="s">
        <v>438</v>
      </c>
      <c r="AC126" s="437"/>
      <c r="AD126" s="437" t="s">
        <v>357</v>
      </c>
      <c r="AE126" s="437"/>
      <c r="AF126" s="437"/>
      <c r="AG126" s="437"/>
      <c r="AH126" s="437"/>
      <c r="AI126" s="437"/>
      <c r="AJ126" s="437"/>
      <c r="AK126" s="437"/>
    </row>
    <row r="127" spans="2:37" ht="18.75" x14ac:dyDescent="0.3">
      <c r="B127" s="266" t="s">
        <v>280</v>
      </c>
      <c r="C127" s="267"/>
      <c r="D127" s="264" t="str">
        <f>IF(OR(C127=AA127,AB127=C127),AB127,IF(OR(C127=AA126,C127=AB126),AB126,""))</f>
        <v/>
      </c>
      <c r="E127" s="271" t="str">
        <f>IF(AND(D127&lt;&gt;"",D126=D127),"F",IF(OR(TRIM(C127)=AA126,TRIM(C127)=AB126,TRIM(C127)=AA127,TRIM(C127)=AB127),"R",IF(D127="","","F")))</f>
        <v/>
      </c>
      <c r="F127" s="267"/>
      <c r="G127" s="265" t="str">
        <f>IF(OR(F127=AD127,F127=AD126),"R",IF(F127="","","F"))</f>
        <v/>
      </c>
      <c r="H127" s="92"/>
      <c r="I127" s="92"/>
      <c r="J127" s="92"/>
      <c r="K127" s="80"/>
      <c r="M127" s="11"/>
      <c r="Y127" s="11"/>
      <c r="AA127" s="437" t="s">
        <v>440</v>
      </c>
      <c r="AB127" s="437" t="s">
        <v>440</v>
      </c>
      <c r="AC127" s="437"/>
      <c r="AD127" s="437" t="s">
        <v>358</v>
      </c>
      <c r="AE127" s="437"/>
      <c r="AF127" s="437"/>
      <c r="AG127" s="437"/>
      <c r="AH127" s="437"/>
      <c r="AI127" s="437"/>
      <c r="AJ127" s="437"/>
      <c r="AK127" s="437"/>
    </row>
    <row r="128" spans="2:37" x14ac:dyDescent="0.25">
      <c r="B128" s="78"/>
      <c r="C128" s="92"/>
      <c r="D128" s="92"/>
      <c r="E128" s="92" t="str">
        <f>IF(AND(OR(E126="R",E127="R"),D126=D127), "hov du skal lave 2 forskellige ionforbindelser - du må ikke bare skrive den samme 2 gange","")</f>
        <v/>
      </c>
      <c r="F128" s="92"/>
      <c r="G128" s="92"/>
      <c r="H128" s="92"/>
      <c r="I128" s="92"/>
      <c r="J128" s="92"/>
      <c r="K128" s="80"/>
      <c r="M128" s="11"/>
      <c r="Y128" s="11"/>
      <c r="AA128" s="437"/>
      <c r="AB128" s="437"/>
      <c r="AC128" s="437"/>
      <c r="AD128" s="437"/>
      <c r="AE128" s="437"/>
      <c r="AF128" s="437"/>
      <c r="AG128" s="437"/>
      <c r="AH128" s="437"/>
      <c r="AI128" s="437"/>
      <c r="AJ128" s="437"/>
      <c r="AK128" s="437"/>
    </row>
    <row r="129" spans="2:37" x14ac:dyDescent="0.25">
      <c r="B129" s="78" t="str" cm="1">
        <f t="array" ref="B129">IF(AND(E126:E127="R"),"Sejt! - Nu er du klar til af afstemme reaktionsskemaet med koefficienter - hvis der ikke skal være nogen koefficient, skal du skrive 1","Udfyld ovenstående lyseblå felter, inden du går videre")</f>
        <v>Udfyld ovenstående lyseblå felter, inden du går videre</v>
      </c>
      <c r="C129" s="92"/>
      <c r="D129" s="92"/>
      <c r="E129" s="92"/>
      <c r="F129" s="92"/>
      <c r="G129" s="92"/>
      <c r="H129" s="92"/>
      <c r="I129" s="92"/>
      <c r="J129" s="92"/>
      <c r="K129" s="80"/>
      <c r="M129" s="11"/>
      <c r="Y129" s="11"/>
      <c r="AA129" s="437"/>
      <c r="AB129" s="437"/>
      <c r="AC129" s="437"/>
      <c r="AD129" s="437"/>
      <c r="AE129" s="437"/>
      <c r="AF129" s="437"/>
      <c r="AG129" s="437"/>
      <c r="AH129" s="437"/>
      <c r="AI129" s="437"/>
      <c r="AJ129" s="437"/>
      <c r="AK129" s="437"/>
    </row>
    <row r="130" spans="2:37" ht="18.75" x14ac:dyDescent="0.3">
      <c r="B130" s="265" t="s">
        <v>105</v>
      </c>
      <c r="C130" s="272"/>
      <c r="D130" s="273" t="str">
        <f>IF(E121="R",D121&amp;"   +","")</f>
        <v/>
      </c>
      <c r="E130" s="274"/>
      <c r="F130" s="273" t="str">
        <f>IF(J121="R",I121,"")</f>
        <v/>
      </c>
      <c r="G130" s="273" t="s">
        <v>48</v>
      </c>
      <c r="H130" s="274"/>
      <c r="I130" s="273" t="str">
        <f>IF(OR(D126=AB126,D127=AB126),AB126&amp;"   +","")</f>
        <v/>
      </c>
      <c r="J130" s="274"/>
      <c r="K130" s="275" t="str">
        <f>IF(OR(D126=AB127,D127=AB127),AB127,"")</f>
        <v/>
      </c>
      <c r="M130" s="11"/>
      <c r="Y130" s="11"/>
      <c r="AA130" s="437">
        <v>3</v>
      </c>
      <c r="AB130" s="437"/>
      <c r="AC130" s="437">
        <v>2</v>
      </c>
      <c r="AD130" s="437"/>
      <c r="AE130" s="437"/>
      <c r="AF130" s="437">
        <v>6</v>
      </c>
      <c r="AG130" s="437"/>
      <c r="AH130" s="437">
        <v>1</v>
      </c>
      <c r="AI130" s="437"/>
      <c r="AJ130" s="437"/>
      <c r="AK130" s="437"/>
    </row>
    <row r="131" spans="2:37" ht="18.75" x14ac:dyDescent="0.3">
      <c r="B131" s="265" t="s">
        <v>283</v>
      </c>
      <c r="C131" s="278"/>
      <c r="D131" s="279" t="str">
        <f>C118</f>
        <v>Calciumchlorid</v>
      </c>
      <c r="E131" s="278"/>
      <c r="F131" s="279" t="str">
        <f>H118</f>
        <v>Natriumphosphat</v>
      </c>
      <c r="G131" s="279"/>
      <c r="H131" s="278"/>
      <c r="I131" s="279" t="str">
        <f>IF(OR(F126=AD126,F127=AD126),AD126,"")</f>
        <v/>
      </c>
      <c r="J131" s="278"/>
      <c r="K131" s="279" t="str">
        <f>IF(OR(F126=AD127,F127=AD127),AD127,"")</f>
        <v/>
      </c>
      <c r="M131" s="11"/>
      <c r="Y131" s="11"/>
      <c r="AA131" s="437"/>
      <c r="AB131" s="437"/>
      <c r="AC131" s="437"/>
      <c r="AD131" s="437"/>
      <c r="AE131" s="437"/>
      <c r="AF131" s="437"/>
      <c r="AG131" s="437"/>
      <c r="AH131" s="437"/>
      <c r="AI131" s="437"/>
      <c r="AJ131" s="437"/>
      <c r="AK131" s="437"/>
    </row>
    <row r="132" spans="2:37" ht="18.75" x14ac:dyDescent="0.3">
      <c r="B132" s="280" t="s">
        <v>123</v>
      </c>
      <c r="C132" s="265" t="str">
        <f>IF(C130=AA130,"R",IF(C130="","","F"))</f>
        <v/>
      </c>
      <c r="D132" s="280"/>
      <c r="E132" s="265" t="str">
        <f>IF(E130=AC130,"R",IF(E130="","","F"))</f>
        <v/>
      </c>
      <c r="F132" s="265"/>
      <c r="G132" s="265"/>
      <c r="H132" s="265" t="str">
        <f>IF(H130=AF130,"R",IF(H130="","","F"))</f>
        <v/>
      </c>
      <c r="I132" s="265"/>
      <c r="J132" s="265" t="str">
        <f>IF(J130=AH130,"R",IF(J130="","","F"))</f>
        <v/>
      </c>
      <c r="K132" s="263"/>
      <c r="M132" s="11"/>
      <c r="Y132" s="11"/>
      <c r="AA132" s="437"/>
      <c r="AB132" s="437"/>
      <c r="AC132" s="437"/>
      <c r="AD132" s="437"/>
      <c r="AE132" s="437"/>
      <c r="AF132" s="437"/>
      <c r="AG132" s="437"/>
      <c r="AH132" s="437"/>
      <c r="AI132" s="437"/>
      <c r="AJ132" s="437"/>
      <c r="AK132" s="437"/>
    </row>
    <row r="133" spans="2:37" x14ac:dyDescent="0.25">
      <c r="B133" s="88"/>
      <c r="C133" s="96"/>
      <c r="D133" s="96"/>
      <c r="E133" s="96"/>
      <c r="F133" s="96"/>
      <c r="G133" s="96"/>
      <c r="H133" s="96"/>
      <c r="I133" s="96"/>
      <c r="J133" s="96"/>
      <c r="K133" s="86"/>
      <c r="M133" s="11"/>
      <c r="Y133" s="11"/>
      <c r="AA133" s="437"/>
      <c r="AB133" s="437"/>
      <c r="AC133" s="437"/>
      <c r="AD133" s="437"/>
      <c r="AE133" s="437"/>
      <c r="AF133" s="437"/>
      <c r="AG133" s="437"/>
      <c r="AH133" s="437"/>
      <c r="AI133" s="437"/>
      <c r="AJ133" s="437"/>
      <c r="AK133" s="437"/>
    </row>
    <row r="134" spans="2:37" x14ac:dyDescent="0.25">
      <c r="B134" s="87" t="str">
        <f>IF(AND(C132="R",E132="R",H132="R",J132="R"),"Flot det endelige reaktionsskema er nemlig:                3CaCl₂ (aq) + 2Na₃PO₄ (aq) ⟶ 6NaCl (aq) + Ca₃(PO₄)₂ (s)                      Bemærk at calciumphosphat vil udfældes","")</f>
        <v/>
      </c>
      <c r="C134" s="96"/>
      <c r="D134" s="96"/>
      <c r="E134" s="96"/>
      <c r="F134" s="96"/>
      <c r="G134" s="96"/>
      <c r="H134" s="96"/>
      <c r="I134" s="96"/>
      <c r="J134" s="96"/>
      <c r="K134" s="86"/>
      <c r="M134" s="11"/>
      <c r="Y134" s="11"/>
      <c r="AA134" s="437"/>
      <c r="AB134" s="437"/>
      <c r="AC134" s="437"/>
      <c r="AD134" s="437"/>
      <c r="AE134" s="437"/>
      <c r="AF134" s="437"/>
      <c r="AG134" s="437"/>
      <c r="AH134" s="437"/>
      <c r="AI134" s="437"/>
      <c r="AJ134" s="437"/>
      <c r="AK134" s="437"/>
    </row>
    <row r="135" spans="2:37" x14ac:dyDescent="0.25">
      <c r="B135" s="79"/>
      <c r="C135" s="92"/>
      <c r="D135" s="92"/>
      <c r="E135" s="92"/>
      <c r="F135" s="92"/>
      <c r="G135" s="92"/>
      <c r="H135" s="92"/>
      <c r="I135" s="92"/>
      <c r="J135" s="92"/>
      <c r="K135" s="80"/>
      <c r="M135" s="11"/>
      <c r="Y135" s="11"/>
      <c r="AA135" s="437"/>
      <c r="AB135" s="437"/>
      <c r="AC135" s="437"/>
      <c r="AD135" s="437"/>
      <c r="AE135" s="437"/>
      <c r="AF135" s="437"/>
      <c r="AG135" s="437"/>
      <c r="AH135" s="437"/>
      <c r="AI135" s="437"/>
      <c r="AJ135" s="437"/>
      <c r="AK135" s="437"/>
    </row>
    <row r="136" spans="2:37" x14ac:dyDescent="0.25">
      <c r="B136" s="79"/>
      <c r="C136" s="92"/>
      <c r="D136" s="92"/>
      <c r="E136" s="92"/>
      <c r="F136" s="92"/>
      <c r="G136" s="92"/>
      <c r="H136" s="92"/>
      <c r="I136" s="92"/>
      <c r="J136" s="92"/>
      <c r="K136" s="80"/>
      <c r="M136" s="11"/>
      <c r="Y136" s="11"/>
      <c r="AA136" s="437"/>
      <c r="AB136" s="437"/>
      <c r="AC136" s="437"/>
      <c r="AD136" s="437"/>
      <c r="AE136" s="437"/>
      <c r="AF136" s="437"/>
      <c r="AG136" s="437"/>
      <c r="AH136" s="437"/>
      <c r="AI136" s="437"/>
      <c r="AJ136" s="437"/>
      <c r="AK136" s="437"/>
    </row>
    <row r="137" spans="2:37" ht="28.5" x14ac:dyDescent="0.45">
      <c r="B137" s="89" t="s">
        <v>330</v>
      </c>
      <c r="C137" s="90"/>
      <c r="D137" s="90"/>
      <c r="E137" s="90"/>
      <c r="F137" s="90"/>
      <c r="G137" s="90"/>
      <c r="H137" s="90"/>
      <c r="I137" s="90"/>
      <c r="J137" s="90"/>
      <c r="K137" s="85"/>
      <c r="M137" s="11"/>
      <c r="Y137" s="11"/>
      <c r="AA137" s="437"/>
      <c r="AB137" s="437"/>
      <c r="AC137" s="437"/>
      <c r="AD137" s="437"/>
      <c r="AE137" s="437"/>
      <c r="AF137" s="437"/>
      <c r="AG137" s="437"/>
      <c r="AH137" s="437"/>
      <c r="AI137" s="437"/>
      <c r="AJ137" s="437"/>
      <c r="AK137" s="437"/>
    </row>
    <row r="138" spans="2:37" x14ac:dyDescent="0.25">
      <c r="B138" s="78" t="s">
        <v>476</v>
      </c>
      <c r="C138" s="92"/>
      <c r="D138" s="92"/>
      <c r="E138" s="92"/>
      <c r="F138" s="92"/>
      <c r="G138" s="92"/>
      <c r="H138" s="92"/>
      <c r="I138" s="92"/>
      <c r="J138" s="92"/>
      <c r="K138" s="80"/>
      <c r="M138" s="11"/>
      <c r="Y138" s="11"/>
      <c r="AA138" s="437"/>
      <c r="AB138" s="437"/>
      <c r="AC138" s="437"/>
      <c r="AD138" s="437"/>
      <c r="AE138" s="437"/>
      <c r="AF138" s="437"/>
      <c r="AG138" s="437"/>
      <c r="AH138" s="437"/>
      <c r="AI138" s="437"/>
      <c r="AJ138" s="437"/>
      <c r="AK138" s="437"/>
    </row>
    <row r="139" spans="2:37" x14ac:dyDescent="0.25">
      <c r="B139" s="78"/>
      <c r="C139" s="92"/>
      <c r="D139" s="92"/>
      <c r="E139" s="92"/>
      <c r="F139" s="92"/>
      <c r="G139" s="92"/>
      <c r="H139" s="92"/>
      <c r="I139" s="92"/>
      <c r="J139" s="92"/>
      <c r="K139" s="80"/>
      <c r="M139" s="11"/>
      <c r="Y139" s="11"/>
      <c r="AA139" s="437"/>
      <c r="AB139" s="437"/>
      <c r="AC139" s="437"/>
      <c r="AD139" s="437"/>
      <c r="AE139" s="437"/>
      <c r="AF139" s="437"/>
      <c r="AG139" s="437"/>
      <c r="AH139" s="437"/>
      <c r="AI139" s="437"/>
      <c r="AJ139" s="437"/>
      <c r="AK139" s="437"/>
    </row>
    <row r="140" spans="2:37" ht="18.75" x14ac:dyDescent="0.3">
      <c r="B140" s="263" t="s">
        <v>225</v>
      </c>
      <c r="C140" s="264" t="s">
        <v>359</v>
      </c>
      <c r="D140" s="264" t="s">
        <v>263</v>
      </c>
      <c r="E140" s="264" t="s">
        <v>123</v>
      </c>
      <c r="F140" s="92"/>
      <c r="G140" s="265" t="s">
        <v>225</v>
      </c>
      <c r="H140" s="264" t="s">
        <v>360</v>
      </c>
      <c r="I140" s="264" t="s">
        <v>263</v>
      </c>
      <c r="J140" s="264" t="s">
        <v>123</v>
      </c>
      <c r="K140" s="80"/>
      <c r="M140" s="11"/>
      <c r="Y140" s="11"/>
      <c r="AA140" s="437"/>
      <c r="AB140" s="437"/>
      <c r="AC140" s="437"/>
      <c r="AD140" s="437"/>
      <c r="AE140" s="437"/>
      <c r="AF140" s="437"/>
      <c r="AG140" s="437"/>
      <c r="AH140" s="437"/>
      <c r="AI140" s="437"/>
      <c r="AJ140" s="437"/>
      <c r="AK140" s="437"/>
    </row>
    <row r="141" spans="2:37" ht="18.75" x14ac:dyDescent="0.3">
      <c r="B141" s="266" t="s">
        <v>281</v>
      </c>
      <c r="C141" s="12"/>
      <c r="D141" s="264" t="str">
        <f>IF(E141="R",AB141,"")</f>
        <v/>
      </c>
      <c r="E141" s="265" t="str">
        <f>IF(OR(TRIM(C141)=AA141,TRIM(C141)=AB141),"R",IF(C141="","","F"))</f>
        <v/>
      </c>
      <c r="F141" s="92"/>
      <c r="G141" s="264" t="s">
        <v>258</v>
      </c>
      <c r="H141" s="12"/>
      <c r="I141" s="264" t="str">
        <f>IF(J141="R",AH141,"")</f>
        <v/>
      </c>
      <c r="J141" s="265" t="str">
        <f>IF(OR(TRIM(H141)=AG141,TRIM(H141)=AH141),"R",IF(H141="","","F"))</f>
        <v/>
      </c>
      <c r="K141" s="80"/>
      <c r="M141" s="11"/>
      <c r="Y141" s="11"/>
      <c r="AA141" s="437" t="s">
        <v>361</v>
      </c>
      <c r="AB141" s="437" t="s">
        <v>135</v>
      </c>
      <c r="AC141" s="437"/>
      <c r="AD141" s="437"/>
      <c r="AE141" s="437"/>
      <c r="AF141" s="437"/>
      <c r="AG141" s="437" t="s">
        <v>340</v>
      </c>
      <c r="AH141" s="437" t="s">
        <v>195</v>
      </c>
      <c r="AI141" s="437"/>
      <c r="AJ141" s="437"/>
      <c r="AK141" s="437"/>
    </row>
    <row r="142" spans="2:37" ht="18.75" x14ac:dyDescent="0.3">
      <c r="B142" s="266" t="s">
        <v>282</v>
      </c>
      <c r="C142" s="12"/>
      <c r="D142" s="264" t="str">
        <f>IF(E142="R",AB142,"")</f>
        <v/>
      </c>
      <c r="E142" s="265" t="str">
        <f>IF(OR(TRIM(C142)=AA142,TRIM(C142)=AB142),"R",IF(C142="","","F"))</f>
        <v/>
      </c>
      <c r="F142" s="92"/>
      <c r="G142" s="264" t="s">
        <v>259</v>
      </c>
      <c r="H142" s="12"/>
      <c r="I142" s="264" t="str">
        <f>IF(J142="R",AH142,"")</f>
        <v/>
      </c>
      <c r="J142" s="265" t="str">
        <f>IF(OR(TRIM(H142)=AG142,TRIM(H142)=AH142),"R",IF(H142="","","F"))</f>
        <v/>
      </c>
      <c r="K142" s="80"/>
      <c r="M142" s="11"/>
      <c r="Y142" s="11"/>
      <c r="AA142" s="437" t="s">
        <v>293</v>
      </c>
      <c r="AB142" s="437" t="s">
        <v>159</v>
      </c>
      <c r="AC142" s="437"/>
      <c r="AD142" s="437"/>
      <c r="AE142" s="437"/>
      <c r="AF142" s="437"/>
      <c r="AG142" s="437" t="s">
        <v>262</v>
      </c>
      <c r="AH142" s="437" t="s">
        <v>157</v>
      </c>
      <c r="AI142" s="437"/>
      <c r="AJ142" s="437"/>
      <c r="AK142" s="437"/>
    </row>
    <row r="143" spans="2:37" ht="18.75" x14ac:dyDescent="0.3">
      <c r="B143" s="266" t="s">
        <v>265</v>
      </c>
      <c r="C143" s="12"/>
      <c r="D143" s="264" t="str">
        <f>IF(E143="R",AB143,"")</f>
        <v/>
      </c>
      <c r="E143" s="265" t="str">
        <f>IF(OR(TRIM(C143)=AA143,TRIM(C143)=AB143),"R",IF(C143="","","F"))</f>
        <v/>
      </c>
      <c r="F143" s="92"/>
      <c r="G143" s="264" t="s">
        <v>264</v>
      </c>
      <c r="H143" s="12"/>
      <c r="I143" s="264" t="str">
        <f>IF(J143="R",AH143,"")</f>
        <v/>
      </c>
      <c r="J143" s="265" t="str">
        <f>IF(OR(TRIM(H143)=AG143,TRIM(H143)=AH143),"R",IF(H143="","","F"))</f>
        <v/>
      </c>
      <c r="K143" s="80"/>
      <c r="M143" s="11"/>
      <c r="Y143" s="11"/>
      <c r="AA143" s="437" t="s">
        <v>362</v>
      </c>
      <c r="AB143" s="437" t="s">
        <v>441</v>
      </c>
      <c r="AC143" s="437"/>
      <c r="AD143" s="437"/>
      <c r="AE143" s="437"/>
      <c r="AF143" s="437"/>
      <c r="AG143" s="437" t="s">
        <v>363</v>
      </c>
      <c r="AH143" s="437" t="s">
        <v>442</v>
      </c>
      <c r="AI143" s="437"/>
      <c r="AJ143" s="437"/>
      <c r="AK143" s="437"/>
    </row>
    <row r="144" spans="2:37" x14ac:dyDescent="0.25">
      <c r="B144" s="78"/>
      <c r="C144" s="92"/>
      <c r="D144" s="92"/>
      <c r="E144" s="92"/>
      <c r="F144" s="92"/>
      <c r="G144" s="92"/>
      <c r="H144" s="92" t="str">
        <f>IF(H143="nh42co3","du skal skrive paranteser rundt om sammensatte ioner, når der er flere end en", "")</f>
        <v/>
      </c>
      <c r="I144" s="92"/>
      <c r="J144" s="92"/>
      <c r="K144" s="80"/>
      <c r="M144" s="11"/>
      <c r="Y144" s="11"/>
      <c r="AA144" s="437"/>
      <c r="AB144" s="437"/>
      <c r="AC144" s="437"/>
      <c r="AD144" s="437"/>
      <c r="AE144" s="437"/>
      <c r="AF144" s="437"/>
      <c r="AG144" s="437"/>
      <c r="AH144" s="437"/>
      <c r="AI144" s="437"/>
      <c r="AJ144" s="437"/>
      <c r="AK144" s="437"/>
    </row>
    <row r="145" spans="1:37" x14ac:dyDescent="0.25">
      <c r="A145" s="18"/>
      <c r="C145" s="28"/>
      <c r="D145" s="28"/>
      <c r="E145" s="28"/>
      <c r="F145" s="28"/>
      <c r="G145" s="28"/>
      <c r="H145" s="28"/>
      <c r="I145" s="28"/>
      <c r="J145" s="28"/>
      <c r="K145" s="18"/>
      <c r="M145" s="11"/>
      <c r="Y145" s="11"/>
      <c r="AA145" s="437"/>
      <c r="AB145" s="437"/>
      <c r="AC145" s="437"/>
      <c r="AD145" s="437"/>
      <c r="AE145" s="437"/>
      <c r="AF145" s="437"/>
      <c r="AG145" s="437"/>
      <c r="AH145" s="437"/>
      <c r="AI145" s="437"/>
      <c r="AJ145" s="437"/>
      <c r="AK145" s="437"/>
    </row>
    <row r="146" spans="1:37" x14ac:dyDescent="0.25">
      <c r="B146" s="78" t="str" cm="1">
        <f t="array" ref="B146">IF(AND(E148:E149="R",G148:G149="R"),"",IF(AND(E141:E143="R",J141:J143="R"),"Flot! - Sammensæt opløsningens ioner, således du danner 2 nye neutrale ionforbindelser","Udfyld ovenstående lyseblå felter, inden du går videre"))</f>
        <v>Udfyld ovenstående lyseblå felter, inden du går videre</v>
      </c>
      <c r="C146" s="92"/>
      <c r="D146" s="92"/>
      <c r="E146" s="92"/>
      <c r="F146" s="92"/>
      <c r="G146" s="92"/>
      <c r="H146" s="92"/>
      <c r="I146" s="92"/>
      <c r="J146" s="92"/>
      <c r="K146" s="80"/>
      <c r="M146" s="11"/>
      <c r="Y146" s="11"/>
      <c r="AA146" s="437"/>
      <c r="AB146" s="437"/>
      <c r="AC146" s="437"/>
      <c r="AD146" s="437"/>
      <c r="AE146" s="437"/>
      <c r="AF146" s="437"/>
      <c r="AG146" s="437"/>
      <c r="AH146" s="437"/>
      <c r="AI146" s="437"/>
      <c r="AJ146" s="437"/>
      <c r="AK146" s="437"/>
    </row>
    <row r="147" spans="1:37" ht="18.75" x14ac:dyDescent="0.3">
      <c r="B147" s="263" t="s">
        <v>1027</v>
      </c>
      <c r="C147" s="264" t="str" cm="1">
        <f t="array" ref="C147">IF(AND(E141:E143="R",J141:J143="R"),"Kemisk formel","")</f>
        <v/>
      </c>
      <c r="D147" s="281" t="str" cm="1">
        <f t="array" ref="D147">IF(AND(E141:E143="R",J141:J143="R"),"Opskrevet korrekt","")</f>
        <v/>
      </c>
      <c r="E147" s="282" t="str" cm="1">
        <f t="array" ref="E147">IF(AND(E141:E143="R",J141:J143="R"),"Tjek","")</f>
        <v/>
      </c>
      <c r="F147" s="264" t="str" cm="1">
        <f t="array" ref="F147">IF(AND(E141:E143="R",J141:J143="R"),"Navne på de nye ionforbindelser","")</f>
        <v/>
      </c>
      <c r="G147" s="264" t="str" cm="1">
        <f t="array" ref="G147">IF(AND(E141:E143="R",J141:J143="R"),"Tjek:","")</f>
        <v/>
      </c>
      <c r="H147" s="92"/>
      <c r="I147" s="92"/>
      <c r="J147" s="92"/>
      <c r="K147" s="80"/>
      <c r="M147" s="11"/>
      <c r="Y147" s="11"/>
      <c r="AA147" s="437"/>
      <c r="AB147" s="437"/>
      <c r="AC147" s="437"/>
      <c r="AD147" s="437"/>
      <c r="AE147" s="437"/>
      <c r="AF147" s="437"/>
      <c r="AG147" s="437"/>
      <c r="AH147" s="437"/>
      <c r="AI147" s="437"/>
      <c r="AJ147" s="437"/>
      <c r="AK147" s="437"/>
    </row>
    <row r="148" spans="1:37" ht="18.75" x14ac:dyDescent="0.3">
      <c r="B148" s="268" t="s">
        <v>279</v>
      </c>
      <c r="C148" s="269"/>
      <c r="D148" s="270" t="str">
        <f>IF(OR(C148=AA149,AB149=C148),AB149,IF(OR(C148=AA148,C148=AB148),AB148,""))</f>
        <v/>
      </c>
      <c r="E148" s="271" t="str">
        <f>IF(OR(TRIM(C148)=AA148,TRIM(C148)=AB148,TRIM(C148)=AA149,TRIM(C148)=AB149),"R",IF(D148="","","F"))</f>
        <v/>
      </c>
      <c r="F148" s="269"/>
      <c r="G148" s="271" t="str">
        <f>IF(OR(F148=AD148,F148=AD149),"R",IF(F148="","","F"))</f>
        <v/>
      </c>
      <c r="H148" s="92"/>
      <c r="I148" s="92"/>
      <c r="J148" s="92"/>
      <c r="K148" s="80"/>
      <c r="M148" s="11"/>
      <c r="Y148" s="11"/>
      <c r="AA148" s="437" t="s">
        <v>364</v>
      </c>
      <c r="AB148" s="437" t="s">
        <v>443</v>
      </c>
      <c r="AC148" s="437"/>
      <c r="AD148" s="437" t="s">
        <v>366</v>
      </c>
      <c r="AE148" s="437"/>
      <c r="AF148" s="437"/>
      <c r="AG148" s="437"/>
      <c r="AH148" s="437"/>
      <c r="AI148" s="437"/>
      <c r="AJ148" s="437"/>
      <c r="AK148" s="437"/>
    </row>
    <row r="149" spans="1:37" ht="18.75" x14ac:dyDescent="0.3">
      <c r="B149" s="266" t="s">
        <v>280</v>
      </c>
      <c r="C149" s="267"/>
      <c r="D149" s="264" t="str">
        <f>IF(OR(C149=AA149,AB149=C149),AB149,IF(OR(C149=AA148,C149=AB148),AB148,""))</f>
        <v/>
      </c>
      <c r="E149" s="271" t="str">
        <f>IF(AND(D149&lt;&gt;"",D148=D149),"F",IF(OR(TRIM(C149)=AA148,TRIM(C149)=AB148,TRIM(C149)=AA149,TRIM(C149)=AB149),"R",IF(D149="","","F")))</f>
        <v/>
      </c>
      <c r="F149" s="267"/>
      <c r="G149" s="265" t="str">
        <f>IF(OR(F149=AD149,F149=AD148),"R",IF(F149="","","F"))</f>
        <v/>
      </c>
      <c r="H149" s="92"/>
      <c r="I149" s="92"/>
      <c r="J149" s="92"/>
      <c r="K149" s="80"/>
      <c r="M149" s="11"/>
      <c r="Y149" s="11"/>
      <c r="AA149" s="437" t="s">
        <v>365</v>
      </c>
      <c r="AB149" s="437" t="s">
        <v>444</v>
      </c>
      <c r="AC149" s="437"/>
      <c r="AD149" s="437" t="s">
        <v>367</v>
      </c>
      <c r="AE149" s="437"/>
      <c r="AF149" s="437"/>
      <c r="AG149" s="437"/>
      <c r="AH149" s="437"/>
      <c r="AI149" s="437"/>
      <c r="AJ149" s="437"/>
      <c r="AK149" s="437"/>
    </row>
    <row r="150" spans="1:37" x14ac:dyDescent="0.25">
      <c r="B150" s="78"/>
      <c r="C150" s="92"/>
      <c r="D150" s="92"/>
      <c r="E150" s="92" t="str">
        <f>IF(AND(OR(E148="R",E149="R"),D148=D149), "hov du skal lave 2 forskellige ionforbindelser - du må ikke bare skrive den samme 2 gange","")</f>
        <v/>
      </c>
      <c r="F150" s="92"/>
      <c r="G150" s="92"/>
      <c r="H150" s="92"/>
      <c r="I150" s="92"/>
      <c r="J150" s="92"/>
      <c r="K150" s="80"/>
      <c r="M150" s="11"/>
      <c r="Y150" s="11"/>
      <c r="AA150" s="437"/>
      <c r="AB150" s="437"/>
      <c r="AC150" s="437"/>
      <c r="AD150" s="437"/>
      <c r="AE150" s="437"/>
      <c r="AF150" s="437"/>
      <c r="AG150" s="437"/>
      <c r="AH150" s="437"/>
      <c r="AI150" s="437"/>
      <c r="AJ150" s="437"/>
      <c r="AK150" s="437"/>
    </row>
    <row r="151" spans="1:37" x14ac:dyDescent="0.25">
      <c r="B151" s="78" t="str" cm="1">
        <f t="array" ref="B151">IF(AND(E148:E149="R"),"Sejt! - Nu er du klar til af afstemme reaktionsskemaet med koefficienter - hvis der ikke skal være nogen koefficient, skal du skrive 1","Udfyld ovenstående lyseblå felter, inden du går videre")</f>
        <v>Udfyld ovenstående lyseblå felter, inden du går videre</v>
      </c>
      <c r="C151" s="92"/>
      <c r="D151" s="92"/>
      <c r="E151" s="92"/>
      <c r="F151" s="92"/>
      <c r="G151" s="92"/>
      <c r="H151" s="92"/>
      <c r="I151" s="92"/>
      <c r="J151" s="92"/>
      <c r="K151" s="80"/>
      <c r="M151" s="11"/>
      <c r="Y151" s="11"/>
      <c r="AA151" s="437"/>
      <c r="AB151" s="437"/>
      <c r="AC151" s="437"/>
      <c r="AD151" s="437"/>
      <c r="AE151" s="437"/>
      <c r="AF151" s="437"/>
      <c r="AG151" s="437"/>
      <c r="AH151" s="437"/>
      <c r="AI151" s="437"/>
      <c r="AJ151" s="437"/>
      <c r="AK151" s="437"/>
    </row>
    <row r="152" spans="1:37" ht="18.75" x14ac:dyDescent="0.3">
      <c r="B152" s="265" t="s">
        <v>585</v>
      </c>
      <c r="C152" s="272"/>
      <c r="D152" s="273" t="str">
        <f>IF(E143="R",D143&amp;"   +","")</f>
        <v/>
      </c>
      <c r="E152" s="274"/>
      <c r="F152" s="273" t="str">
        <f>IF(J143="R",I143,"")</f>
        <v/>
      </c>
      <c r="G152" s="273" t="s">
        <v>48</v>
      </c>
      <c r="H152" s="274"/>
      <c r="I152" s="273" t="str">
        <f>IF(OR(D148=AB148,D149=AB148),AB148&amp;"   +","")</f>
        <v/>
      </c>
      <c r="J152" s="274"/>
      <c r="K152" s="275" t="str">
        <f>IF(OR(D148=AB149,D149=AB149),AB149,"")</f>
        <v/>
      </c>
      <c r="M152" s="11"/>
      <c r="Y152" s="11"/>
      <c r="AA152" s="437">
        <v>1</v>
      </c>
      <c r="AB152" s="437"/>
      <c r="AC152" s="437">
        <v>1</v>
      </c>
      <c r="AD152" s="437"/>
      <c r="AE152" s="437"/>
      <c r="AF152" s="437">
        <v>1</v>
      </c>
      <c r="AG152" s="437"/>
      <c r="AH152" s="437">
        <v>2</v>
      </c>
      <c r="AI152" s="437"/>
      <c r="AJ152" s="437"/>
      <c r="AK152" s="437"/>
    </row>
    <row r="153" spans="1:37" ht="18.75" x14ac:dyDescent="0.3">
      <c r="B153" s="265" t="s">
        <v>283</v>
      </c>
      <c r="C153" s="278"/>
      <c r="D153" s="279" t="str">
        <f>C140</f>
        <v>Bly(II)nitrat</v>
      </c>
      <c r="E153" s="278"/>
      <c r="F153" s="279" t="str">
        <f>H140</f>
        <v>Kaliumsulfat</v>
      </c>
      <c r="G153" s="279"/>
      <c r="H153" s="278"/>
      <c r="I153" s="279" t="str">
        <f>IF(OR(F148=AD148,F149=AD148),AD148,"")</f>
        <v/>
      </c>
      <c r="J153" s="278"/>
      <c r="K153" s="279" t="str">
        <f>IF(OR(F148=AD149,F149=AD149),AD149,"")</f>
        <v/>
      </c>
      <c r="M153" s="11"/>
      <c r="Y153" s="11"/>
      <c r="AA153" s="437"/>
      <c r="AB153" s="437"/>
      <c r="AC153" s="437"/>
      <c r="AD153" s="437"/>
      <c r="AE153" s="437"/>
      <c r="AF153" s="437"/>
      <c r="AG153" s="437"/>
      <c r="AH153" s="437"/>
      <c r="AI153" s="437"/>
      <c r="AJ153" s="437"/>
      <c r="AK153" s="437"/>
    </row>
    <row r="154" spans="1:37" ht="18.75" x14ac:dyDescent="0.3">
      <c r="B154" s="280" t="s">
        <v>123</v>
      </c>
      <c r="C154" s="265" t="str">
        <f>IF(C152=AA152,"R",IF(C152="","","F"))</f>
        <v/>
      </c>
      <c r="D154" s="280"/>
      <c r="E154" s="265" t="str">
        <f>IF(E152=AC152,"R",IF(E152="","","F"))</f>
        <v/>
      </c>
      <c r="F154" s="265"/>
      <c r="G154" s="265"/>
      <c r="H154" s="265" t="str">
        <f>IF(H152=AF152,"R",IF(H152="","","F"))</f>
        <v/>
      </c>
      <c r="I154" s="265"/>
      <c r="J154" s="265" t="str">
        <f>IF(J152=AH152,"R",IF(J152="","","F"))</f>
        <v/>
      </c>
      <c r="K154" s="263"/>
      <c r="M154" s="11"/>
      <c r="Y154" s="11"/>
      <c r="AA154" s="437"/>
      <c r="AB154" s="437"/>
      <c r="AC154" s="437"/>
      <c r="AD154" s="437"/>
      <c r="AE154" s="437"/>
      <c r="AF154" s="437"/>
      <c r="AG154" s="437"/>
      <c r="AH154" s="437"/>
      <c r="AI154" s="437"/>
      <c r="AJ154" s="437"/>
      <c r="AK154" s="437"/>
    </row>
    <row r="155" spans="1:37" x14ac:dyDescent="0.25">
      <c r="B155" s="88"/>
      <c r="C155" s="96"/>
      <c r="D155" s="96"/>
      <c r="E155" s="96"/>
      <c r="F155" s="96"/>
      <c r="G155" s="96"/>
      <c r="H155" s="96"/>
      <c r="I155" s="96"/>
      <c r="J155" s="96"/>
      <c r="K155" s="86"/>
      <c r="M155" s="11"/>
      <c r="Y155" s="11"/>
      <c r="AA155" s="437"/>
      <c r="AB155" s="437"/>
      <c r="AC155" s="437"/>
      <c r="AD155" s="437"/>
      <c r="AE155" s="437"/>
      <c r="AF155" s="437"/>
      <c r="AG155" s="437"/>
      <c r="AH155" s="437"/>
      <c r="AI155" s="437"/>
      <c r="AJ155" s="437"/>
      <c r="AK155" s="437"/>
    </row>
    <row r="156" spans="1:37" x14ac:dyDescent="0.25">
      <c r="B156" s="87" t="str">
        <f>IF(AND(C154="R",E154="R",H154="R",J154="R"),"Flot det endelige reaktionsskema er nemlig:                Pb(NO₃)₂ (aq) + K₂SO₄ (aq) ⟶ PbSO₄ (s) + 2KNO₃ (aq)                      Bemærk at bly(II)sulfat vil udfældes","")</f>
        <v/>
      </c>
      <c r="C156" s="96"/>
      <c r="D156" s="96"/>
      <c r="E156" s="96"/>
      <c r="F156" s="96"/>
      <c r="G156" s="96"/>
      <c r="H156" s="96"/>
      <c r="I156" s="96"/>
      <c r="J156" s="96"/>
      <c r="K156" s="86"/>
      <c r="M156" s="11"/>
      <c r="Y156" s="11"/>
      <c r="AA156" s="437"/>
      <c r="AB156" s="437"/>
      <c r="AC156" s="437"/>
      <c r="AD156" s="437"/>
      <c r="AE156" s="437"/>
      <c r="AF156" s="437"/>
      <c r="AG156" s="437"/>
      <c r="AH156" s="437"/>
      <c r="AI156" s="437"/>
      <c r="AJ156" s="437"/>
      <c r="AK156" s="437"/>
    </row>
    <row r="157" spans="1:37" x14ac:dyDescent="0.25">
      <c r="B157" s="79"/>
      <c r="C157" s="92"/>
      <c r="D157" s="92"/>
      <c r="E157" s="92"/>
      <c r="F157" s="92"/>
      <c r="G157" s="92"/>
      <c r="H157" s="92"/>
      <c r="I157" s="92"/>
      <c r="J157" s="92"/>
      <c r="K157" s="80"/>
      <c r="M157" s="11"/>
      <c r="Y157" s="11"/>
      <c r="AA157" s="437"/>
      <c r="AB157" s="437"/>
      <c r="AC157" s="437"/>
      <c r="AD157" s="437"/>
      <c r="AE157" s="437"/>
      <c r="AF157" s="437"/>
      <c r="AG157" s="437"/>
      <c r="AH157" s="437"/>
      <c r="AI157" s="437"/>
      <c r="AJ157" s="437"/>
      <c r="AK157" s="437"/>
    </row>
    <row r="158" spans="1:37" x14ac:dyDescent="0.25">
      <c r="B158" s="79"/>
      <c r="C158" s="92"/>
      <c r="D158" s="92"/>
      <c r="E158" s="92"/>
      <c r="F158" s="92"/>
      <c r="G158" s="92"/>
      <c r="H158" s="92"/>
      <c r="I158" s="92"/>
      <c r="J158" s="92"/>
      <c r="K158" s="80"/>
      <c r="M158" s="11"/>
      <c r="Y158" s="11"/>
      <c r="AA158" s="437"/>
      <c r="AB158" s="437"/>
      <c r="AC158" s="437"/>
      <c r="AD158" s="437"/>
      <c r="AE158" s="437"/>
      <c r="AF158" s="437"/>
      <c r="AG158" s="437"/>
      <c r="AH158" s="437"/>
      <c r="AI158" s="437"/>
      <c r="AJ158" s="437"/>
      <c r="AK158" s="437"/>
    </row>
    <row r="159" spans="1:37" ht="28.5" x14ac:dyDescent="0.45">
      <c r="B159" s="89" t="s">
        <v>331</v>
      </c>
      <c r="C159" s="90"/>
      <c r="D159" s="90"/>
      <c r="E159" s="90"/>
      <c r="F159" s="90"/>
      <c r="G159" s="90"/>
      <c r="H159" s="90"/>
      <c r="I159" s="90"/>
      <c r="J159" s="90"/>
      <c r="K159" s="85"/>
      <c r="M159" s="11"/>
      <c r="Y159" s="11"/>
      <c r="AA159" s="437"/>
      <c r="AB159" s="437"/>
      <c r="AC159" s="437"/>
      <c r="AD159" s="437"/>
      <c r="AE159" s="437"/>
      <c r="AF159" s="437"/>
      <c r="AG159" s="437"/>
      <c r="AH159" s="437"/>
      <c r="AI159" s="437"/>
      <c r="AJ159" s="437"/>
      <c r="AK159" s="437"/>
    </row>
    <row r="160" spans="1:37" x14ac:dyDescent="0.25">
      <c r="B160" s="78" t="s">
        <v>477</v>
      </c>
      <c r="C160" s="92"/>
      <c r="D160" s="92"/>
      <c r="E160" s="92"/>
      <c r="F160" s="92"/>
      <c r="G160" s="92"/>
      <c r="H160" s="92"/>
      <c r="I160" s="92"/>
      <c r="J160" s="92"/>
      <c r="K160" s="80"/>
      <c r="M160" s="11"/>
      <c r="Y160" s="11"/>
      <c r="AA160" s="437"/>
      <c r="AB160" s="437"/>
      <c r="AC160" s="437"/>
      <c r="AD160" s="437"/>
      <c r="AE160" s="437"/>
      <c r="AF160" s="437"/>
      <c r="AG160" s="437"/>
      <c r="AH160" s="437"/>
      <c r="AI160" s="437"/>
      <c r="AJ160" s="437"/>
      <c r="AK160" s="437"/>
    </row>
    <row r="161" spans="2:37" x14ac:dyDescent="0.25">
      <c r="C161" s="28"/>
      <c r="D161" s="28"/>
      <c r="E161" s="28"/>
      <c r="F161" s="28"/>
      <c r="G161" s="28"/>
      <c r="H161" s="28"/>
      <c r="I161" s="28"/>
      <c r="J161" s="28"/>
      <c r="K161" s="18"/>
      <c r="M161" s="11"/>
      <c r="Y161" s="11"/>
      <c r="AA161" s="437"/>
      <c r="AB161" s="437"/>
      <c r="AC161" s="437"/>
      <c r="AD161" s="437"/>
      <c r="AE161" s="437"/>
      <c r="AF161" s="437"/>
      <c r="AG161" s="437"/>
      <c r="AH161" s="437"/>
      <c r="AI161" s="437"/>
      <c r="AJ161" s="437"/>
      <c r="AK161" s="437"/>
    </row>
    <row r="162" spans="2:37" ht="18.75" x14ac:dyDescent="0.3">
      <c r="B162" s="263" t="s">
        <v>225</v>
      </c>
      <c r="C162" s="264" t="s">
        <v>601</v>
      </c>
      <c r="D162" s="264" t="s">
        <v>263</v>
      </c>
      <c r="E162" s="264" t="s">
        <v>123</v>
      </c>
      <c r="F162" s="92"/>
      <c r="G162" s="265" t="s">
        <v>225</v>
      </c>
      <c r="H162" s="264" t="s">
        <v>602</v>
      </c>
      <c r="I162" s="264" t="s">
        <v>263</v>
      </c>
      <c r="J162" s="264" t="s">
        <v>123</v>
      </c>
      <c r="K162" s="80"/>
      <c r="M162" s="11"/>
      <c r="Y162" s="11"/>
      <c r="AA162" s="437"/>
      <c r="AB162" s="437"/>
      <c r="AC162" s="437"/>
      <c r="AD162" s="437"/>
      <c r="AE162" s="437"/>
      <c r="AF162" s="437"/>
      <c r="AG162" s="437"/>
      <c r="AH162" s="437"/>
      <c r="AI162" s="437"/>
      <c r="AJ162" s="437"/>
      <c r="AK162" s="437"/>
    </row>
    <row r="163" spans="2:37" ht="18.75" x14ac:dyDescent="0.3">
      <c r="B163" s="266" t="s">
        <v>281</v>
      </c>
      <c r="C163" s="12"/>
      <c r="D163" s="264" t="str">
        <f>IF(E163="R",AB163,"")</f>
        <v/>
      </c>
      <c r="E163" s="265" t="str">
        <f>IF(OR(TRIM(C163)=AA163,TRIM(C163)=AB163),"R",IF(C163="","","F"))</f>
        <v/>
      </c>
      <c r="F163" s="92"/>
      <c r="G163" s="264" t="s">
        <v>258</v>
      </c>
      <c r="H163" s="12"/>
      <c r="I163" s="264" t="str">
        <f>IF(J163="R",AH163,"")</f>
        <v/>
      </c>
      <c r="J163" s="265" t="str">
        <f>IF(OR(TRIM(H163)=AG163,TRIM(H163)=AH163),"R",IF(H163="","","F"))</f>
        <v/>
      </c>
      <c r="K163" s="80"/>
      <c r="M163" s="11"/>
      <c r="Y163" s="11"/>
      <c r="AA163" s="437" t="s">
        <v>369</v>
      </c>
      <c r="AB163" s="437" t="s">
        <v>150</v>
      </c>
      <c r="AC163" s="437"/>
      <c r="AD163" s="437"/>
      <c r="AE163" s="437"/>
      <c r="AF163" s="437"/>
      <c r="AG163" s="437" t="s">
        <v>267</v>
      </c>
      <c r="AH163" s="437" t="s">
        <v>160</v>
      </c>
      <c r="AI163" s="437"/>
      <c r="AJ163" s="437"/>
      <c r="AK163" s="437"/>
    </row>
    <row r="164" spans="2:37" ht="18.75" x14ac:dyDescent="0.3">
      <c r="B164" s="266" t="s">
        <v>282</v>
      </c>
      <c r="C164" s="12"/>
      <c r="D164" s="264" t="str">
        <f>IF(E164="R",AB164,"")</f>
        <v/>
      </c>
      <c r="E164" s="265" t="str">
        <f>IF(OR(TRIM(C164)=AA164,TRIM(C164)=AB164),"R",IF(C164="","","F"))</f>
        <v/>
      </c>
      <c r="F164" s="92"/>
      <c r="G164" s="264" t="s">
        <v>259</v>
      </c>
      <c r="H164" s="12"/>
      <c r="I164" s="264" t="str">
        <f>IF(J164="R",AH164,"")</f>
        <v/>
      </c>
      <c r="J164" s="265" t="str">
        <f>IF(OR(TRIM(H164)=AG164,TRIM(H164)=AH164),"R",IF(H164="","","F"))</f>
        <v/>
      </c>
      <c r="K164" s="80"/>
      <c r="M164" s="11"/>
      <c r="Y164" s="11"/>
      <c r="AA164" s="437" t="s">
        <v>344</v>
      </c>
      <c r="AB164" s="437" t="s">
        <v>432</v>
      </c>
      <c r="AC164" s="437"/>
      <c r="AD164" s="437"/>
      <c r="AE164" s="437"/>
      <c r="AF164" s="437"/>
      <c r="AG164" s="437" t="s">
        <v>371</v>
      </c>
      <c r="AH164" s="437" t="s">
        <v>126</v>
      </c>
      <c r="AI164" s="437"/>
      <c r="AJ164" s="437"/>
      <c r="AK164" s="437"/>
    </row>
    <row r="165" spans="2:37" ht="18.75" x14ac:dyDescent="0.3">
      <c r="B165" s="266" t="s">
        <v>265</v>
      </c>
      <c r="C165" s="12"/>
      <c r="D165" s="264" t="str">
        <f>IF(E165="R",AB165,"")</f>
        <v/>
      </c>
      <c r="E165" s="265" t="str">
        <f>IF(OR(TRIM(C165)=AA165,TRIM(C165)=AB165),"R",IF(C165="","","F"))</f>
        <v/>
      </c>
      <c r="F165" s="92"/>
      <c r="G165" s="264" t="s">
        <v>264</v>
      </c>
      <c r="H165" s="12"/>
      <c r="I165" s="264" t="str">
        <f>IF(J165="R",AH165,"")</f>
        <v/>
      </c>
      <c r="J165" s="265" t="str">
        <f>IF(OR(TRIM(H165)=AG165,TRIM(H165)=AH165),"R",IF(H165="","","F"))</f>
        <v/>
      </c>
      <c r="K165" s="80"/>
      <c r="M165" s="11"/>
      <c r="Y165" s="11"/>
      <c r="AA165" s="437" t="s">
        <v>370</v>
      </c>
      <c r="AB165" s="437" t="s">
        <v>445</v>
      </c>
      <c r="AC165" s="437"/>
      <c r="AD165" s="437"/>
      <c r="AE165" s="437"/>
      <c r="AF165" s="437"/>
      <c r="AG165" s="437" t="s">
        <v>372</v>
      </c>
      <c r="AH165" s="437" t="s">
        <v>446</v>
      </c>
      <c r="AI165" s="437"/>
      <c r="AJ165" s="437"/>
      <c r="AK165" s="437"/>
    </row>
    <row r="166" spans="2:37" x14ac:dyDescent="0.25">
      <c r="B166" s="78"/>
      <c r="C166" s="92"/>
      <c r="D166" s="92"/>
      <c r="E166" s="92"/>
      <c r="F166" s="92"/>
      <c r="G166" s="92"/>
      <c r="H166" s="92" t="str">
        <f>IF(H165="nh42co3","du skal skrive paranteser rundt om sammensatte ioner, når der er flere end en", "")</f>
        <v/>
      </c>
      <c r="I166" s="92"/>
      <c r="J166" s="92"/>
      <c r="K166" s="80"/>
      <c r="M166" s="11"/>
      <c r="Y166" s="11"/>
      <c r="AA166" s="437"/>
      <c r="AB166" s="437"/>
      <c r="AC166" s="437"/>
      <c r="AD166" s="437"/>
      <c r="AE166" s="437"/>
      <c r="AF166" s="437"/>
      <c r="AG166" s="437"/>
      <c r="AH166" s="437"/>
      <c r="AI166" s="437"/>
      <c r="AJ166" s="437"/>
      <c r="AK166" s="437"/>
    </row>
    <row r="167" spans="2:37" x14ac:dyDescent="0.25">
      <c r="B167" s="78"/>
      <c r="C167" s="92"/>
      <c r="D167" s="92"/>
      <c r="E167" s="92"/>
      <c r="F167" s="92"/>
      <c r="G167" s="92"/>
      <c r="H167" s="92"/>
      <c r="I167" s="92"/>
      <c r="J167" s="92"/>
      <c r="K167" s="80"/>
      <c r="M167" s="11"/>
      <c r="Y167" s="11"/>
      <c r="AA167" s="437"/>
      <c r="AB167" s="437"/>
      <c r="AC167" s="437"/>
      <c r="AD167" s="437"/>
      <c r="AE167" s="437"/>
      <c r="AF167" s="437"/>
      <c r="AG167" s="437"/>
      <c r="AH167" s="437"/>
      <c r="AI167" s="437"/>
      <c r="AJ167" s="437"/>
      <c r="AK167" s="437"/>
    </row>
    <row r="168" spans="2:37" x14ac:dyDescent="0.25">
      <c r="B168" s="78" t="str" cm="1">
        <f t="array" ref="B168">IF(AND(E170:E171="R",G170:G171="R"),"",IF(AND(E163:E165="R",J163:J165="R"),"Flot! - Sammensæt opløsningens ioner, således du danner 2 nye neutrale ionforbindelser","Udfyld ovenstående lyseblå felter, inden du går videre"))</f>
        <v>Udfyld ovenstående lyseblå felter, inden du går videre</v>
      </c>
      <c r="C168" s="92"/>
      <c r="D168" s="92"/>
      <c r="E168" s="92"/>
      <c r="F168" s="92"/>
      <c r="G168" s="92"/>
      <c r="H168" s="92"/>
      <c r="I168" s="92"/>
      <c r="J168" s="92"/>
      <c r="K168" s="80"/>
      <c r="M168" s="11"/>
      <c r="Y168" s="11"/>
      <c r="AA168" s="437"/>
      <c r="AB168" s="437"/>
      <c r="AC168" s="437"/>
      <c r="AD168" s="437"/>
      <c r="AE168" s="437"/>
      <c r="AF168" s="437"/>
      <c r="AG168" s="437"/>
      <c r="AH168" s="437"/>
      <c r="AI168" s="437"/>
      <c r="AJ168" s="437"/>
      <c r="AK168" s="437"/>
    </row>
    <row r="169" spans="2:37" ht="18.75" x14ac:dyDescent="0.3">
      <c r="B169" s="263" t="s">
        <v>1027</v>
      </c>
      <c r="C169" s="264" t="str" cm="1">
        <f t="array" ref="C169">IF(AND(E163:E165="R",J163:J165="R"),"Kemisk formel","")</f>
        <v/>
      </c>
      <c r="D169" s="264" t="str" cm="1">
        <f t="array" ref="D169">IF(AND(E163:E165="R",J163:J165="R"),"Opskrevet korrekt","")</f>
        <v/>
      </c>
      <c r="E169" s="264" t="str" cm="1">
        <f t="array" ref="E169">IF(AND(E163:E165="R",J163:J165="R"),"Tjek","")</f>
        <v/>
      </c>
      <c r="F169" s="264" t="str" cm="1">
        <f t="array" ref="F169">IF(AND(E163:E165="R",J163:J165="R"),"Navne på de nye ionforbindelser","")</f>
        <v/>
      </c>
      <c r="G169" s="264" t="str" cm="1">
        <f t="array" ref="G169">IF(AND(E163:E165="R",J163:J165="R"),"Tjek:","")</f>
        <v/>
      </c>
      <c r="H169" s="92"/>
      <c r="I169" s="92"/>
      <c r="J169" s="92"/>
      <c r="K169" s="80"/>
      <c r="M169" s="11"/>
      <c r="Y169" s="11"/>
      <c r="AA169" s="437"/>
      <c r="AB169" s="437"/>
      <c r="AC169" s="437"/>
      <c r="AD169" s="437"/>
      <c r="AE169" s="437"/>
      <c r="AF169" s="437"/>
      <c r="AG169" s="437"/>
      <c r="AH169" s="437"/>
      <c r="AI169" s="437"/>
      <c r="AJ169" s="437"/>
      <c r="AK169" s="437"/>
    </row>
    <row r="170" spans="2:37" ht="18.75" x14ac:dyDescent="0.3">
      <c r="B170" s="268" t="s">
        <v>279</v>
      </c>
      <c r="C170" s="269"/>
      <c r="D170" s="270" t="str">
        <f>IF(OR(C170=AA171,AB171=C170),AB171,IF(OR(C170=AA170,C170=AB170),AB170,""))</f>
        <v/>
      </c>
      <c r="E170" s="271" t="str">
        <f>IF(OR(TRIM(C170)=AA170,TRIM(C170)=AB170,TRIM(C170)=AA171,TRIM(C170)=AB171),"R",IF(D170="","","F"))</f>
        <v/>
      </c>
      <c r="F170" s="269"/>
      <c r="G170" s="271" t="str">
        <f>IF(OR(F170=AD170,F170=AD171),"R",IF(F170="","","F"))</f>
        <v/>
      </c>
      <c r="H170" s="92"/>
      <c r="I170" s="92"/>
      <c r="J170" s="92"/>
      <c r="K170" s="80"/>
      <c r="M170" s="11"/>
      <c r="Y170" s="11"/>
      <c r="AA170" s="437" t="s">
        <v>373</v>
      </c>
      <c r="AB170" s="437" t="s">
        <v>174</v>
      </c>
      <c r="AC170" s="437"/>
      <c r="AD170" s="437" t="s">
        <v>187</v>
      </c>
      <c r="AE170" s="437"/>
      <c r="AF170" s="437"/>
      <c r="AG170" s="437"/>
      <c r="AH170" s="437"/>
      <c r="AI170" s="437"/>
      <c r="AJ170" s="437"/>
      <c r="AK170" s="437"/>
    </row>
    <row r="171" spans="2:37" ht="18.75" x14ac:dyDescent="0.3">
      <c r="B171" s="266" t="s">
        <v>280</v>
      </c>
      <c r="C171" s="267"/>
      <c r="D171" s="264" t="str">
        <f>IF(OR(C171=AA171,AB171=C171),AB171,IF(OR(C171=AA170,C171=AB170),AB170,""))</f>
        <v/>
      </c>
      <c r="E171" s="271" t="str">
        <f>IF(AND(D171&lt;&gt;"",D170=D171),"F",IF(OR(TRIM(C171)=AA170,TRIM(C171)=AB170,TRIM(C171)=AA171,TRIM(C171)=AB171),"R",IF(D171="","","F")))</f>
        <v/>
      </c>
      <c r="F171" s="267"/>
      <c r="G171" s="265" t="str">
        <f>IF(OR(F171=AD171,F171=AD170),"R",IF(F171="","","F"))</f>
        <v/>
      </c>
      <c r="H171" s="92"/>
      <c r="I171" s="92"/>
      <c r="J171" s="92"/>
      <c r="K171" s="80"/>
      <c r="M171" s="11"/>
      <c r="Y171" s="11"/>
      <c r="AA171" s="437" t="s">
        <v>374</v>
      </c>
      <c r="AB171" s="437" t="s">
        <v>447</v>
      </c>
      <c r="AC171" s="437"/>
      <c r="AD171" s="437" t="s">
        <v>375</v>
      </c>
      <c r="AE171" s="437"/>
      <c r="AF171" s="437"/>
      <c r="AG171" s="437"/>
      <c r="AH171" s="437"/>
      <c r="AI171" s="437"/>
      <c r="AJ171" s="437"/>
      <c r="AK171" s="437"/>
    </row>
    <row r="172" spans="2:37" x14ac:dyDescent="0.25">
      <c r="B172" s="78"/>
      <c r="C172" s="92"/>
      <c r="D172" s="92"/>
      <c r="E172" s="92" t="str">
        <f>IF(AND(OR(E170="R",E171="R"),D170=D171), "hov du skal lave 2 forskellige ionforbindelser - du må ikke bare skrive den samme 2 gange","")</f>
        <v/>
      </c>
      <c r="F172" s="92"/>
      <c r="G172" s="92"/>
      <c r="H172" s="92"/>
      <c r="I172" s="92"/>
      <c r="J172" s="92"/>
      <c r="K172" s="80"/>
      <c r="M172" s="11"/>
      <c r="Y172" s="11"/>
      <c r="AA172" s="437"/>
      <c r="AB172" s="437"/>
      <c r="AC172" s="437"/>
      <c r="AD172" s="437"/>
      <c r="AE172" s="437"/>
      <c r="AF172" s="437"/>
      <c r="AG172" s="437"/>
      <c r="AH172" s="437"/>
      <c r="AI172" s="437"/>
      <c r="AJ172" s="437"/>
      <c r="AK172" s="437"/>
    </row>
    <row r="173" spans="2:37" x14ac:dyDescent="0.25">
      <c r="B173" s="78" t="str" cm="1">
        <f t="array" ref="B173">IF(AND(E170:E171="R"),"Sejt! - Nu er du klar til af afstemme reaktionsskemaet med koefficienter - hvis der ikke skal være nogen koefficient, skal du skrive 1","Udfyld ovenstående lyseblå felter, inden du går videre")</f>
        <v>Udfyld ovenstående lyseblå felter, inden du går videre</v>
      </c>
      <c r="C173" s="92"/>
      <c r="D173" s="92"/>
      <c r="E173" s="92"/>
      <c r="F173" s="92"/>
      <c r="G173" s="92"/>
      <c r="H173" s="92"/>
      <c r="I173" s="92"/>
      <c r="J173" s="92"/>
      <c r="K173" s="80"/>
      <c r="M173" s="11"/>
      <c r="Y173" s="11"/>
      <c r="AA173" s="437"/>
      <c r="AB173" s="437"/>
      <c r="AC173" s="437"/>
      <c r="AD173" s="437"/>
      <c r="AE173" s="437"/>
      <c r="AF173" s="437"/>
      <c r="AG173" s="437"/>
      <c r="AH173" s="437"/>
      <c r="AI173" s="437"/>
      <c r="AJ173" s="437"/>
      <c r="AK173" s="437"/>
    </row>
    <row r="174" spans="2:37" ht="18.75" x14ac:dyDescent="0.3">
      <c r="B174" s="265" t="s">
        <v>586</v>
      </c>
      <c r="C174" s="272"/>
      <c r="D174" s="273" t="str">
        <f>IF(E165="R",D165&amp;"   +","")</f>
        <v/>
      </c>
      <c r="E174" s="274"/>
      <c r="F174" s="273" t="str">
        <f>IF(J165="R",I165,"")</f>
        <v/>
      </c>
      <c r="G174" s="273" t="s">
        <v>48</v>
      </c>
      <c r="H174" s="274"/>
      <c r="I174" s="273" t="str">
        <f>IF(OR(D170=AB170,D171=AB170),AB170&amp;"   +","")</f>
        <v/>
      </c>
      <c r="J174" s="274"/>
      <c r="K174" s="275" t="str">
        <f>IF(OR(D170=AB171,D171=AB171),AB171,"")</f>
        <v/>
      </c>
      <c r="M174" s="11"/>
      <c r="Y174" s="11"/>
      <c r="AA174" s="437">
        <v>1</v>
      </c>
      <c r="AB174" s="437"/>
      <c r="AC174" s="437">
        <v>1</v>
      </c>
      <c r="AD174" s="437"/>
      <c r="AE174" s="437"/>
      <c r="AF174" s="437">
        <v>1</v>
      </c>
      <c r="AG174" s="437"/>
      <c r="AH174" s="437">
        <v>2</v>
      </c>
      <c r="AI174" s="437"/>
      <c r="AJ174" s="437"/>
      <c r="AK174" s="437"/>
    </row>
    <row r="175" spans="2:37" ht="18.75" x14ac:dyDescent="0.3">
      <c r="B175" s="265" t="s">
        <v>283</v>
      </c>
      <c r="C175" s="278"/>
      <c r="D175" s="279" t="str">
        <f>C162</f>
        <v>Kobber(II)iodid</v>
      </c>
      <c r="E175" s="278"/>
      <c r="F175" s="279" t="str">
        <f>H162</f>
        <v>Ammoniumsulfid</v>
      </c>
      <c r="G175" s="279"/>
      <c r="H175" s="278"/>
      <c r="I175" s="279" t="str">
        <f>IF(OR(F170=AD170,F171=AD170),AD170,"")</f>
        <v/>
      </c>
      <c r="J175" s="278"/>
      <c r="K175" s="279" t="str">
        <f>IF(OR(F170=AD171,F171=AD171),AD171,"")</f>
        <v/>
      </c>
      <c r="M175" s="11"/>
      <c r="Y175" s="11"/>
      <c r="AA175" s="437"/>
      <c r="AB175" s="437"/>
      <c r="AC175" s="437"/>
      <c r="AD175" s="437"/>
      <c r="AE175" s="437"/>
      <c r="AF175" s="437"/>
      <c r="AG175" s="437"/>
      <c r="AH175" s="437"/>
      <c r="AI175" s="437"/>
      <c r="AJ175" s="437"/>
      <c r="AK175" s="437"/>
    </row>
    <row r="176" spans="2:37" ht="18.75" x14ac:dyDescent="0.3">
      <c r="B176" s="280" t="s">
        <v>123</v>
      </c>
      <c r="C176" s="265" t="str">
        <f>IF(C174=AA174,"R",IF(C174="","","F"))</f>
        <v/>
      </c>
      <c r="D176" s="280"/>
      <c r="E176" s="265" t="str">
        <f>IF(E174=AC174,"R",IF(E174="","","F"))</f>
        <v/>
      </c>
      <c r="F176" s="265"/>
      <c r="G176" s="265"/>
      <c r="H176" s="265" t="str">
        <f>IF(H174=AF174,"R",IF(H174="","","F"))</f>
        <v/>
      </c>
      <c r="I176" s="265"/>
      <c r="J176" s="265" t="str">
        <f>IF(J174=AH174,"R",IF(J174="","","F"))</f>
        <v/>
      </c>
      <c r="K176" s="263"/>
      <c r="M176" s="11"/>
      <c r="Y176" s="11"/>
      <c r="AA176" s="437"/>
      <c r="AB176" s="437"/>
      <c r="AC176" s="437"/>
      <c r="AD176" s="437"/>
      <c r="AE176" s="437"/>
      <c r="AF176" s="437"/>
      <c r="AG176" s="437"/>
      <c r="AH176" s="437"/>
      <c r="AI176" s="437"/>
      <c r="AJ176" s="437"/>
      <c r="AK176" s="437"/>
    </row>
    <row r="177" spans="1:37" x14ac:dyDescent="0.25">
      <c r="A177" s="18"/>
      <c r="C177" s="28"/>
      <c r="D177" s="28"/>
      <c r="E177" s="28"/>
      <c r="F177" s="28"/>
      <c r="G177" s="28"/>
      <c r="H177" s="28"/>
      <c r="I177" s="28"/>
      <c r="J177" s="28"/>
      <c r="K177" s="202"/>
      <c r="M177" s="11"/>
      <c r="Y177" s="11"/>
      <c r="AA177" s="437"/>
      <c r="AB177" s="437"/>
      <c r="AC177" s="437"/>
      <c r="AD177" s="437"/>
      <c r="AE177" s="437"/>
      <c r="AF177" s="437"/>
      <c r="AG177" s="437"/>
      <c r="AH177" s="437"/>
      <c r="AI177" s="437"/>
      <c r="AJ177" s="437"/>
      <c r="AK177" s="437"/>
    </row>
    <row r="178" spans="1:37" x14ac:dyDescent="0.25">
      <c r="A178" s="18"/>
      <c r="B178" s="87" t="str">
        <f>IF(AND(C176="R",E176="R",H176="R",J176="R"),"Flot det endelige reaktionsskema er nemlig:               CuI₂ (aq) + (NH₄)₂S (aq) ⟶ CuS (s) + 2NH₄I (aq)                      Bemærk at kobber(II)sulfid vil udfældes","")</f>
        <v/>
      </c>
      <c r="C178" s="96"/>
      <c r="D178" s="96"/>
      <c r="E178" s="96"/>
      <c r="F178" s="96"/>
      <c r="G178" s="96"/>
      <c r="H178" s="96"/>
      <c r="I178" s="96"/>
      <c r="J178" s="96"/>
      <c r="K178" s="86"/>
      <c r="M178" s="11"/>
      <c r="Y178" s="11"/>
      <c r="AA178" s="437"/>
      <c r="AB178" s="437"/>
      <c r="AC178" s="437"/>
      <c r="AD178" s="437"/>
      <c r="AE178" s="437"/>
      <c r="AF178" s="437"/>
      <c r="AG178" s="437"/>
      <c r="AH178" s="437"/>
      <c r="AI178" s="437"/>
      <c r="AJ178" s="437"/>
      <c r="AK178" s="437"/>
    </row>
    <row r="179" spans="1:37" x14ac:dyDescent="0.25">
      <c r="B179" s="79"/>
      <c r="C179" s="92"/>
      <c r="D179" s="92"/>
      <c r="E179" s="92"/>
      <c r="F179" s="92"/>
      <c r="G179" s="92"/>
      <c r="H179" s="92"/>
      <c r="I179" s="92"/>
      <c r="J179" s="92"/>
      <c r="K179" s="80"/>
      <c r="M179" s="11"/>
      <c r="Y179" s="11"/>
      <c r="AA179" s="437"/>
      <c r="AB179" s="437"/>
      <c r="AC179" s="437"/>
      <c r="AD179" s="437"/>
      <c r="AE179" s="437"/>
      <c r="AF179" s="437"/>
      <c r="AG179" s="437"/>
      <c r="AH179" s="437"/>
      <c r="AI179" s="437"/>
      <c r="AJ179" s="437"/>
      <c r="AK179" s="437"/>
    </row>
    <row r="180" spans="1:37" x14ac:dyDescent="0.25">
      <c r="B180" s="79"/>
      <c r="C180" s="92"/>
      <c r="D180" s="92"/>
      <c r="E180" s="92"/>
      <c r="F180" s="92"/>
      <c r="G180" s="92"/>
      <c r="H180" s="92"/>
      <c r="I180" s="92"/>
      <c r="J180" s="92"/>
      <c r="K180" s="80"/>
      <c r="M180" s="11"/>
      <c r="Y180" s="11"/>
      <c r="AA180" s="437"/>
      <c r="AB180" s="437"/>
      <c r="AC180" s="437"/>
      <c r="AD180" s="437"/>
      <c r="AE180" s="437"/>
      <c r="AF180" s="437"/>
      <c r="AG180" s="437"/>
      <c r="AH180" s="437"/>
      <c r="AI180" s="437"/>
      <c r="AJ180" s="437"/>
      <c r="AK180" s="437"/>
    </row>
    <row r="181" spans="1:37" ht="28.5" x14ac:dyDescent="0.45">
      <c r="B181" s="89" t="s">
        <v>332</v>
      </c>
      <c r="C181" s="90"/>
      <c r="D181" s="90"/>
      <c r="E181" s="90"/>
      <c r="F181" s="90"/>
      <c r="G181" s="90"/>
      <c r="H181" s="90"/>
      <c r="I181" s="90"/>
      <c r="J181" s="90"/>
      <c r="K181" s="85"/>
      <c r="M181" s="11"/>
      <c r="Y181" s="11"/>
      <c r="AA181" s="437"/>
      <c r="AB181" s="437"/>
      <c r="AC181" s="437"/>
      <c r="AD181" s="437"/>
      <c r="AE181" s="437"/>
      <c r="AF181" s="437"/>
      <c r="AG181" s="437"/>
      <c r="AH181" s="437"/>
      <c r="AI181" s="437"/>
      <c r="AJ181" s="437"/>
      <c r="AK181" s="437"/>
    </row>
    <row r="182" spans="1:37" x14ac:dyDescent="0.25">
      <c r="B182" s="78" t="s">
        <v>478</v>
      </c>
      <c r="C182" s="92"/>
      <c r="D182" s="92"/>
      <c r="E182" s="92"/>
      <c r="F182" s="92"/>
      <c r="G182" s="92"/>
      <c r="H182" s="92"/>
      <c r="I182" s="92"/>
      <c r="J182" s="92"/>
      <c r="K182" s="80"/>
      <c r="M182" s="11"/>
      <c r="Y182" s="11"/>
      <c r="AA182" s="437"/>
      <c r="AB182" s="437"/>
      <c r="AC182" s="437"/>
      <c r="AD182" s="437"/>
      <c r="AE182" s="437"/>
      <c r="AF182" s="437"/>
      <c r="AG182" s="437"/>
      <c r="AH182" s="437"/>
      <c r="AI182" s="437"/>
      <c r="AJ182" s="437"/>
      <c r="AK182" s="437"/>
    </row>
    <row r="183" spans="1:37" x14ac:dyDescent="0.25">
      <c r="B183" s="78"/>
      <c r="C183" s="92"/>
      <c r="D183" s="92"/>
      <c r="E183" s="92"/>
      <c r="F183" s="92"/>
      <c r="G183" s="92"/>
      <c r="H183" s="92"/>
      <c r="I183" s="92"/>
      <c r="J183" s="92"/>
      <c r="K183" s="80"/>
      <c r="M183" s="11"/>
      <c r="Y183" s="11"/>
      <c r="AA183" s="437"/>
      <c r="AB183" s="437"/>
      <c r="AC183" s="437"/>
      <c r="AD183" s="437"/>
      <c r="AE183" s="437"/>
      <c r="AF183" s="437"/>
      <c r="AG183" s="437"/>
      <c r="AH183" s="437"/>
      <c r="AI183" s="437"/>
      <c r="AJ183" s="437"/>
      <c r="AK183" s="437"/>
    </row>
    <row r="184" spans="1:37" ht="18.75" x14ac:dyDescent="0.3">
      <c r="B184" s="263" t="s">
        <v>225</v>
      </c>
      <c r="C184" s="264" t="s">
        <v>1030</v>
      </c>
      <c r="D184" s="264" t="s">
        <v>263</v>
      </c>
      <c r="E184" s="264" t="s">
        <v>123</v>
      </c>
      <c r="F184" s="92"/>
      <c r="G184" s="265" t="s">
        <v>225</v>
      </c>
      <c r="H184" s="264" t="s">
        <v>1029</v>
      </c>
      <c r="I184" s="264" t="s">
        <v>263</v>
      </c>
      <c r="J184" s="264" t="s">
        <v>123</v>
      </c>
      <c r="K184" s="80"/>
      <c r="M184" s="11"/>
      <c r="Y184" s="11"/>
      <c r="AA184" s="437"/>
      <c r="AB184" s="437"/>
      <c r="AC184" s="437"/>
      <c r="AD184" s="437"/>
      <c r="AE184" s="437"/>
      <c r="AF184" s="437"/>
      <c r="AG184" s="437"/>
      <c r="AH184" s="437"/>
      <c r="AI184" s="437"/>
      <c r="AJ184" s="437"/>
      <c r="AK184" s="437"/>
    </row>
    <row r="185" spans="1:37" ht="18.75" x14ac:dyDescent="0.3">
      <c r="B185" s="266" t="s">
        <v>281</v>
      </c>
      <c r="C185" s="12"/>
      <c r="D185" s="264" t="str">
        <f>IF(E185="R",AB185,"")</f>
        <v/>
      </c>
      <c r="E185" s="265" t="str">
        <f>IF(OR(TRIM(C185)=AA185,TRIM(C185)=AB185),"R",IF(C185="","","F"))</f>
        <v/>
      </c>
      <c r="F185" s="92"/>
      <c r="G185" s="264" t="s">
        <v>258</v>
      </c>
      <c r="H185" s="12"/>
      <c r="I185" s="264" t="str">
        <f>IF(J185="R",AH185,"")</f>
        <v/>
      </c>
      <c r="J185" s="265" t="str">
        <f>IF(OR(TRIM(H185)=AG185,TRIM(H185)=AH185),"R",IF(H185="","","F"))</f>
        <v/>
      </c>
      <c r="K185" s="80"/>
      <c r="M185" s="11"/>
      <c r="Y185" s="11"/>
      <c r="AA185" s="437" t="s">
        <v>317</v>
      </c>
      <c r="AB185" s="437" t="s">
        <v>128</v>
      </c>
      <c r="AC185" s="437"/>
      <c r="AD185" s="437"/>
      <c r="AE185" s="437"/>
      <c r="AF185" s="437"/>
      <c r="AG185" s="437" t="s">
        <v>378</v>
      </c>
      <c r="AH185" s="437" t="s">
        <v>449</v>
      </c>
      <c r="AI185" s="437"/>
      <c r="AJ185" s="437"/>
      <c r="AK185" s="437"/>
    </row>
    <row r="186" spans="1:37" ht="18.75" x14ac:dyDescent="0.3">
      <c r="B186" s="266" t="s">
        <v>282</v>
      </c>
      <c r="C186" s="12"/>
      <c r="D186" s="264" t="str">
        <f>IF(E186="R",AB186,"")</f>
        <v/>
      </c>
      <c r="E186" s="265" t="str">
        <f>IF(OR(TRIM(C186)=AA186,TRIM(C186)=AB186),"R",IF(C186="","","F"))</f>
        <v/>
      </c>
      <c r="F186" s="92"/>
      <c r="G186" s="264" t="s">
        <v>259</v>
      </c>
      <c r="H186" s="12"/>
      <c r="I186" s="264" t="str">
        <f>IF(J186="R",AH186,"")</f>
        <v/>
      </c>
      <c r="J186" s="265" t="str">
        <f>IF(OR(TRIM(H186)=AG186,TRIM(H186)=AH186),"R",IF(H186="","","F"))</f>
        <v/>
      </c>
      <c r="K186" s="80"/>
      <c r="M186" s="11"/>
      <c r="Y186" s="11"/>
      <c r="AA186" s="437" t="s">
        <v>262</v>
      </c>
      <c r="AB186" s="437" t="s">
        <v>157</v>
      </c>
      <c r="AC186" s="437"/>
      <c r="AD186" s="437"/>
      <c r="AE186" s="437"/>
      <c r="AF186" s="437"/>
      <c r="AG186" s="437" t="s">
        <v>318</v>
      </c>
      <c r="AH186" s="437" t="s">
        <v>156</v>
      </c>
      <c r="AI186" s="437"/>
      <c r="AJ186" s="437"/>
      <c r="AK186" s="437"/>
    </row>
    <row r="187" spans="1:37" ht="18.75" x14ac:dyDescent="0.3">
      <c r="B187" s="266" t="s">
        <v>265</v>
      </c>
      <c r="C187" s="12"/>
      <c r="D187" s="264" t="str">
        <f>IF(E187="R",AB187,"")</f>
        <v/>
      </c>
      <c r="E187" s="265" t="str">
        <f>IF(OR(TRIM(C187)=AA187,TRIM(C187)=AB187),"R",IF(C187="","","F"))</f>
        <v/>
      </c>
      <c r="F187" s="92"/>
      <c r="G187" s="264" t="s">
        <v>264</v>
      </c>
      <c r="H187" s="12"/>
      <c r="I187" s="264" t="str">
        <f>IF(J187="R",AH187,"")</f>
        <v/>
      </c>
      <c r="J187" s="265" t="str">
        <f>IF(OR(TRIM(H187)=AG187,TRIM(H187)=AH187),"R",IF(H187="","","F"))</f>
        <v/>
      </c>
      <c r="K187" s="80"/>
      <c r="M187" s="11"/>
      <c r="Y187" s="11"/>
      <c r="AA187" s="437" t="s">
        <v>376</v>
      </c>
      <c r="AB187" s="437" t="s">
        <v>448</v>
      </c>
      <c r="AC187" s="437"/>
      <c r="AD187" s="437"/>
      <c r="AE187" s="437"/>
      <c r="AF187" s="437"/>
      <c r="AG187" s="437" t="s">
        <v>379</v>
      </c>
      <c r="AH187" s="437" t="s">
        <v>180</v>
      </c>
      <c r="AI187" s="437"/>
      <c r="AJ187" s="437"/>
      <c r="AK187" s="437"/>
    </row>
    <row r="188" spans="1:37" x14ac:dyDescent="0.25">
      <c r="B188" s="78"/>
      <c r="C188" s="92"/>
      <c r="D188" s="92"/>
      <c r="E188" s="92"/>
      <c r="F188" s="92"/>
      <c r="G188" s="92"/>
      <c r="H188" s="92" t="str">
        <f>IF(H187="nh42co3","du skal skrive paranteser rundt om sammensatte ioner, når der er flere end en", "")</f>
        <v/>
      </c>
      <c r="I188" s="92"/>
      <c r="J188" s="92"/>
      <c r="K188" s="80"/>
      <c r="M188" s="11"/>
      <c r="Y188" s="11"/>
      <c r="AA188" s="437"/>
      <c r="AB188" s="437"/>
      <c r="AC188" s="437"/>
      <c r="AD188" s="437"/>
      <c r="AE188" s="437"/>
      <c r="AF188" s="437"/>
      <c r="AG188" s="437"/>
      <c r="AH188" s="437"/>
      <c r="AI188" s="437"/>
      <c r="AJ188" s="437"/>
      <c r="AK188" s="437"/>
    </row>
    <row r="189" spans="1:37" x14ac:dyDescent="0.25">
      <c r="B189" s="78"/>
      <c r="C189" s="92"/>
      <c r="D189" s="92"/>
      <c r="E189" s="92"/>
      <c r="F189" s="92"/>
      <c r="G189" s="92"/>
      <c r="H189" s="92"/>
      <c r="I189" s="92"/>
      <c r="J189" s="92"/>
      <c r="K189" s="80"/>
      <c r="M189" s="11"/>
      <c r="Y189" s="11"/>
      <c r="AA189" s="437"/>
      <c r="AB189" s="437"/>
      <c r="AC189" s="437"/>
      <c r="AD189" s="437"/>
      <c r="AE189" s="437"/>
      <c r="AF189" s="437"/>
      <c r="AG189" s="437"/>
      <c r="AH189" s="437"/>
      <c r="AI189" s="437"/>
      <c r="AJ189" s="437"/>
      <c r="AK189" s="437"/>
    </row>
    <row r="190" spans="1:37" x14ac:dyDescent="0.25">
      <c r="B190" s="78" t="str" cm="1">
        <f t="array" ref="B190">IF(AND(E192:E193="R",G192:G193="R"),"",IF(AND(E185:E187="R",J185:J187="R"),"Flot! - Sammensæt opløsningens ioner, således du danner 2 nye neutrale ionforbindelser","Udfyld ovenstående lyseblå felter, inden du går videre"))</f>
        <v>Udfyld ovenstående lyseblå felter, inden du går videre</v>
      </c>
      <c r="C190" s="92"/>
      <c r="D190" s="92"/>
      <c r="E190" s="92"/>
      <c r="F190" s="92"/>
      <c r="G190" s="92"/>
      <c r="H190" s="92"/>
      <c r="I190" s="92"/>
      <c r="J190" s="92"/>
      <c r="K190" s="80"/>
      <c r="M190" s="11"/>
      <c r="Y190" s="11"/>
      <c r="AA190" s="437"/>
      <c r="AB190" s="437"/>
      <c r="AC190" s="437"/>
      <c r="AD190" s="437"/>
      <c r="AE190" s="437"/>
      <c r="AF190" s="437"/>
      <c r="AG190" s="437"/>
      <c r="AH190" s="437"/>
      <c r="AI190" s="437"/>
      <c r="AJ190" s="437"/>
      <c r="AK190" s="437"/>
    </row>
    <row r="191" spans="1:37" ht="18.75" x14ac:dyDescent="0.3">
      <c r="B191" s="263" t="s">
        <v>1027</v>
      </c>
      <c r="C191" s="264" t="str" cm="1">
        <f t="array" ref="C191">IF(AND(E185:E187="R",J185:J187="R"),"Kemisk formel","")</f>
        <v/>
      </c>
      <c r="D191" s="264" t="str" cm="1">
        <f t="array" ref="D191">IF(AND(E185:E187="R",J185:J187="R"),"Opskrevet korrekt","")</f>
        <v/>
      </c>
      <c r="E191" s="264" t="str" cm="1">
        <f t="array" ref="E191">IF(AND(E185:E187="R",J185:J187="R"),"Tjek","")</f>
        <v/>
      </c>
      <c r="F191" s="264" t="str" cm="1">
        <f t="array" ref="F191">IF(AND(E185:E187="R",J185:J187="R"),"Navne på de nye ionforbindelser","")</f>
        <v/>
      </c>
      <c r="G191" s="264" t="str" cm="1">
        <f t="array" ref="G191">IF(AND(E185:E187="R",J185:J187="R"),"Tjek:","")</f>
        <v/>
      </c>
      <c r="H191" s="92"/>
      <c r="I191" s="92"/>
      <c r="J191" s="92"/>
      <c r="K191" s="80"/>
      <c r="M191" s="11"/>
      <c r="Y191" s="11"/>
      <c r="AA191" s="437"/>
      <c r="AB191" s="437"/>
      <c r="AC191" s="437"/>
      <c r="AD191" s="437"/>
      <c r="AE191" s="437"/>
      <c r="AF191" s="437"/>
      <c r="AG191" s="437"/>
      <c r="AH191" s="437"/>
      <c r="AI191" s="437"/>
      <c r="AJ191" s="437"/>
      <c r="AK191" s="437"/>
    </row>
    <row r="192" spans="1:37" ht="18.75" x14ac:dyDescent="0.3">
      <c r="B192" s="268" t="s">
        <v>279</v>
      </c>
      <c r="C192" s="269"/>
      <c r="D192" s="270" t="str">
        <f>IF(OR(C192=AA193,AB193=C192),AB193,IF(OR(C192=AA192,C192=AB192),AB192,""))</f>
        <v/>
      </c>
      <c r="E192" s="271" t="str">
        <f>IF(OR(TRIM(C192)=AA192,TRIM(C192)=AB192,TRIM(C192)=AA193,TRIM(C192)=AB193),"R",IF(D192="","","F"))</f>
        <v/>
      </c>
      <c r="F192" s="269"/>
      <c r="G192" s="271" t="str">
        <f>IF(OR(F192=AD192,F192=AD193),"R",IF(F192="","","F"))</f>
        <v/>
      </c>
      <c r="H192" s="92"/>
      <c r="I192" s="92"/>
      <c r="J192" s="92"/>
      <c r="K192" s="80"/>
      <c r="M192" s="11"/>
      <c r="Y192" s="11"/>
      <c r="AA192" s="437" t="s">
        <v>315</v>
      </c>
      <c r="AB192" s="437" t="s">
        <v>314</v>
      </c>
      <c r="AC192" s="437"/>
      <c r="AD192" s="437" t="s">
        <v>368</v>
      </c>
      <c r="AE192" s="437"/>
      <c r="AF192" s="437"/>
      <c r="AG192" s="437"/>
      <c r="AH192" s="437"/>
      <c r="AI192" s="437"/>
      <c r="AJ192" s="437"/>
      <c r="AK192" s="437"/>
    </row>
    <row r="193" spans="1:37" ht="18.75" x14ac:dyDescent="0.3">
      <c r="B193" s="266" t="s">
        <v>280</v>
      </c>
      <c r="C193" s="267"/>
      <c r="D193" s="264" t="str">
        <f>IF(OR(C193=AA193,AB193=C193),AB193,IF(OR(C193=AA192,C193=AB192),AB192,""))</f>
        <v/>
      </c>
      <c r="E193" s="271" t="str">
        <f>IF(AND(D193&lt;&gt;"",D192=D193),"F",IF(OR(TRIM(C193)=AA192,TRIM(C193)=AB192,TRIM(C193)=AA193,TRIM(C193)=AB193),"R",IF(D193="","","F")))</f>
        <v/>
      </c>
      <c r="F193" s="267"/>
      <c r="G193" s="265" t="str">
        <f>IF(OR(F193=AD193,F193=AD192),"R",IF(F193="","","F"))</f>
        <v/>
      </c>
      <c r="H193" s="92"/>
      <c r="I193" s="92"/>
      <c r="J193" s="92"/>
      <c r="K193" s="80"/>
      <c r="M193" s="11"/>
      <c r="Y193" s="11"/>
      <c r="AA193" s="437" t="s">
        <v>380</v>
      </c>
      <c r="AB193" s="437" t="s">
        <v>450</v>
      </c>
      <c r="AC193" s="437"/>
      <c r="AD193" s="437" t="s">
        <v>381</v>
      </c>
      <c r="AE193" s="437"/>
      <c r="AF193" s="437"/>
      <c r="AG193" s="437"/>
      <c r="AH193" s="437"/>
      <c r="AI193" s="437"/>
      <c r="AJ193" s="437"/>
      <c r="AK193" s="437"/>
    </row>
    <row r="194" spans="1:37" x14ac:dyDescent="0.25">
      <c r="B194" s="78"/>
      <c r="C194" s="92"/>
      <c r="D194" s="92"/>
      <c r="E194" s="92" t="str">
        <f>IF(AND(OR(E192="R",E193="R"),D192=D193), "hov du skal lave 2 forskellige ionforbindelser - du må ikke bare skrive den samme 2 gange","")</f>
        <v/>
      </c>
      <c r="F194" s="92"/>
      <c r="G194" s="92"/>
      <c r="H194" s="92"/>
      <c r="I194" s="92"/>
      <c r="J194" s="92"/>
      <c r="K194" s="80"/>
      <c r="M194" s="11"/>
      <c r="Y194" s="11"/>
      <c r="AA194" s="437"/>
      <c r="AB194" s="437"/>
      <c r="AC194" s="437"/>
      <c r="AD194" s="437"/>
      <c r="AE194" s="437"/>
      <c r="AF194" s="437"/>
      <c r="AG194" s="437"/>
      <c r="AH194" s="437"/>
      <c r="AI194" s="437"/>
      <c r="AJ194" s="437"/>
      <c r="AK194" s="437"/>
    </row>
    <row r="195" spans="1:37" x14ac:dyDescent="0.25">
      <c r="B195" s="78" t="str" cm="1">
        <f t="array" ref="B195">IF(AND(E192:E193="R"),"Sejt! - Nu er du klar til af afstemme reaktionsskemaet med koefficienter - hvis der ikke skal være nogen koefficient, skal du skrive 1","Udfyld ovenstående lyseblå felter, inden du går videre")</f>
        <v>Udfyld ovenstående lyseblå felter, inden du går videre</v>
      </c>
      <c r="C195" s="92"/>
      <c r="D195" s="92"/>
      <c r="E195" s="92"/>
      <c r="F195" s="92"/>
      <c r="G195" s="92"/>
      <c r="H195" s="92"/>
      <c r="I195" s="92"/>
      <c r="J195" s="92"/>
      <c r="K195" s="80"/>
      <c r="M195" s="11"/>
      <c r="Y195" s="11"/>
      <c r="AA195" s="437"/>
      <c r="AB195" s="437"/>
      <c r="AC195" s="437"/>
      <c r="AD195" s="437"/>
      <c r="AE195" s="437"/>
      <c r="AF195" s="437"/>
      <c r="AG195" s="437"/>
      <c r="AH195" s="437"/>
      <c r="AI195" s="437"/>
      <c r="AJ195" s="437"/>
      <c r="AK195" s="437"/>
    </row>
    <row r="196" spans="1:37" ht="18.75" x14ac:dyDescent="0.3">
      <c r="B196" s="265" t="s">
        <v>730</v>
      </c>
      <c r="C196" s="272"/>
      <c r="D196" s="273" t="str">
        <f>IF(E187="R",D187&amp;"   +","")</f>
        <v/>
      </c>
      <c r="E196" s="274"/>
      <c r="F196" s="273" t="str">
        <f>IF(J187="R",I187,"")</f>
        <v/>
      </c>
      <c r="G196" s="273" t="s">
        <v>48</v>
      </c>
      <c r="H196" s="274"/>
      <c r="I196" s="273" t="str">
        <f>IF(OR(D192=AB192,D193=AB192),AB192&amp;"   +","")</f>
        <v/>
      </c>
      <c r="J196" s="274"/>
      <c r="K196" s="275" t="str">
        <f>IF(OR(D192=AB193,D193=AB193),AB193,"")</f>
        <v/>
      </c>
      <c r="M196" s="11"/>
      <c r="Y196" s="11"/>
      <c r="AA196" s="437">
        <v>2</v>
      </c>
      <c r="AB196" s="437"/>
      <c r="AC196" s="437">
        <v>3</v>
      </c>
      <c r="AD196" s="437"/>
      <c r="AE196" s="437"/>
      <c r="AF196" s="437">
        <v>2</v>
      </c>
      <c r="AG196" s="437"/>
      <c r="AH196" s="437">
        <v>3</v>
      </c>
      <c r="AI196" s="437"/>
      <c r="AJ196" s="437"/>
      <c r="AK196" s="437"/>
    </row>
    <row r="197" spans="1:37" ht="18.75" x14ac:dyDescent="0.3">
      <c r="B197" s="265" t="s">
        <v>283</v>
      </c>
      <c r="C197" s="278"/>
      <c r="D197" s="279" t="str">
        <f>C184</f>
        <v>Jern(III)sulfat</v>
      </c>
      <c r="E197" s="278"/>
      <c r="F197" s="279" t="str">
        <f>H184</f>
        <v>Magnesiumhydroxid</v>
      </c>
      <c r="G197" s="279"/>
      <c r="H197" s="278"/>
      <c r="I197" s="279" t="str">
        <f>IF(OR(F192=AD192,F193=AD192),AD192,"")</f>
        <v/>
      </c>
      <c r="J197" s="278"/>
      <c r="K197" s="279" t="str">
        <f>IF(OR(F192=AD193,F193=AD193),AD193,"")</f>
        <v/>
      </c>
      <c r="M197" s="11"/>
      <c r="Y197" s="11"/>
      <c r="AA197" s="437"/>
      <c r="AB197" s="437"/>
      <c r="AC197" s="437"/>
      <c r="AD197" s="437"/>
      <c r="AE197" s="437"/>
      <c r="AF197" s="437"/>
      <c r="AG197" s="437"/>
      <c r="AH197" s="437"/>
      <c r="AI197" s="437"/>
      <c r="AJ197" s="437"/>
      <c r="AK197" s="437"/>
    </row>
    <row r="198" spans="1:37" ht="18.75" x14ac:dyDescent="0.3">
      <c r="B198" s="280" t="s">
        <v>123</v>
      </c>
      <c r="C198" s="265" t="str">
        <f>IF(C196=AA196,"R",IF(C196="","","F"))</f>
        <v/>
      </c>
      <c r="D198" s="280"/>
      <c r="E198" s="265" t="str">
        <f>IF(E196=AC196,"R",IF(E196="","","F"))</f>
        <v/>
      </c>
      <c r="F198" s="265"/>
      <c r="G198" s="265"/>
      <c r="H198" s="265" t="str">
        <f>IF(H196=AF196,"R",IF(H196="","","F"))</f>
        <v/>
      </c>
      <c r="I198" s="265"/>
      <c r="J198" s="265" t="str">
        <f>IF(J196=AH196,"R",IF(J196="","","F"))</f>
        <v/>
      </c>
      <c r="K198" s="263"/>
      <c r="M198" s="11"/>
      <c r="Y198" s="11"/>
      <c r="AA198" s="437"/>
      <c r="AB198" s="437"/>
      <c r="AC198" s="437"/>
      <c r="AD198" s="437"/>
      <c r="AE198" s="437"/>
      <c r="AF198" s="437"/>
      <c r="AG198" s="437"/>
      <c r="AH198" s="437"/>
      <c r="AI198" s="437"/>
      <c r="AJ198" s="437"/>
      <c r="AK198" s="437"/>
    </row>
    <row r="199" spans="1:37" x14ac:dyDescent="0.25">
      <c r="B199" s="88"/>
      <c r="C199" s="96"/>
      <c r="D199" s="96"/>
      <c r="E199" s="96"/>
      <c r="F199" s="96"/>
      <c r="G199" s="96"/>
      <c r="H199" s="96"/>
      <c r="I199" s="96"/>
      <c r="J199" s="96"/>
      <c r="K199" s="86"/>
      <c r="M199" s="11"/>
      <c r="Y199" s="11"/>
      <c r="AA199" s="437"/>
      <c r="AB199" s="437"/>
      <c r="AC199" s="437"/>
      <c r="AD199" s="437"/>
      <c r="AE199" s="437"/>
      <c r="AF199" s="437"/>
      <c r="AG199" s="437"/>
      <c r="AH199" s="437"/>
      <c r="AI199" s="437"/>
      <c r="AJ199" s="437"/>
      <c r="AK199" s="437"/>
    </row>
    <row r="200" spans="1:37" x14ac:dyDescent="0.25">
      <c r="A200" s="18"/>
      <c r="B200" s="87" t="str">
        <f>IF(AND(C198="R",E198="R",H198="R",J198="R"),"Flot det endelige reaktionsskema er nemlig:                2Fe₂(SO₄)₃ (aq) + 3Mg(OH)₂ (aq) ⟶ 2Fe(OH)₃ (s) + 3MgSO₄ (aq)                      Bemærk at jern(III)hydroxid vil udfældes","")</f>
        <v/>
      </c>
      <c r="C200" s="96"/>
      <c r="D200" s="96"/>
      <c r="E200" s="96"/>
      <c r="F200" s="96"/>
      <c r="G200" s="96"/>
      <c r="H200" s="96"/>
      <c r="I200" s="96"/>
      <c r="J200" s="96"/>
      <c r="K200" s="86"/>
      <c r="M200" s="11"/>
      <c r="Y200" s="11"/>
      <c r="AA200" s="437"/>
      <c r="AB200" s="437"/>
      <c r="AC200" s="437"/>
      <c r="AD200" s="437"/>
      <c r="AE200" s="437"/>
      <c r="AF200" s="437"/>
      <c r="AG200" s="437"/>
      <c r="AH200" s="437"/>
      <c r="AI200" s="437"/>
      <c r="AJ200" s="437"/>
      <c r="AK200" s="437"/>
    </row>
    <row r="201" spans="1:37" x14ac:dyDescent="0.25">
      <c r="B201" s="79"/>
      <c r="C201" s="92"/>
      <c r="D201" s="92"/>
      <c r="E201" s="92"/>
      <c r="F201" s="92"/>
      <c r="G201" s="92"/>
      <c r="H201" s="92"/>
      <c r="I201" s="92"/>
      <c r="J201" s="92"/>
      <c r="K201" s="80"/>
      <c r="M201" s="11"/>
      <c r="Y201" s="11"/>
      <c r="AA201" s="437"/>
      <c r="AB201" s="437"/>
      <c r="AC201" s="437"/>
      <c r="AD201" s="437"/>
      <c r="AE201" s="437"/>
      <c r="AF201" s="437"/>
      <c r="AG201" s="437"/>
      <c r="AH201" s="437"/>
      <c r="AI201" s="437"/>
      <c r="AJ201" s="437"/>
      <c r="AK201" s="437"/>
    </row>
    <row r="202" spans="1:37" x14ac:dyDescent="0.25">
      <c r="B202" s="79"/>
      <c r="C202" s="92"/>
      <c r="D202" s="92"/>
      <c r="E202" s="92"/>
      <c r="F202" s="92"/>
      <c r="G202" s="92"/>
      <c r="H202" s="92"/>
      <c r="I202" s="92"/>
      <c r="J202" s="92"/>
      <c r="K202" s="80"/>
      <c r="M202" s="11"/>
      <c r="Y202" s="11"/>
      <c r="AA202" s="437"/>
      <c r="AB202" s="437"/>
      <c r="AC202" s="437"/>
      <c r="AD202" s="437"/>
      <c r="AE202" s="437"/>
      <c r="AF202" s="437"/>
      <c r="AG202" s="437"/>
      <c r="AH202" s="437"/>
      <c r="AI202" s="437"/>
      <c r="AJ202" s="437"/>
      <c r="AK202" s="437"/>
    </row>
    <row r="203" spans="1:37" ht="28.5" x14ac:dyDescent="0.45">
      <c r="B203" s="89" t="s">
        <v>333</v>
      </c>
      <c r="C203" s="90"/>
      <c r="D203" s="90"/>
      <c r="E203" s="90"/>
      <c r="F203" s="90"/>
      <c r="G203" s="90"/>
      <c r="H203" s="90"/>
      <c r="I203" s="90"/>
      <c r="J203" s="90"/>
      <c r="K203" s="85"/>
      <c r="M203" s="11"/>
      <c r="Y203" s="11"/>
      <c r="AA203" s="437"/>
      <c r="AB203" s="437"/>
      <c r="AC203" s="437"/>
      <c r="AD203" s="437"/>
      <c r="AE203" s="437"/>
      <c r="AF203" s="437"/>
      <c r="AG203" s="437"/>
      <c r="AH203" s="437"/>
      <c r="AI203" s="437"/>
      <c r="AJ203" s="437"/>
      <c r="AK203" s="437"/>
    </row>
    <row r="204" spans="1:37" x14ac:dyDescent="0.25">
      <c r="B204" s="78" t="s">
        <v>479</v>
      </c>
      <c r="C204" s="92"/>
      <c r="D204" s="92"/>
      <c r="E204" s="92"/>
      <c r="F204" s="92"/>
      <c r="G204" s="92"/>
      <c r="H204" s="92"/>
      <c r="I204" s="92"/>
      <c r="J204" s="92"/>
      <c r="K204" s="80"/>
      <c r="M204" s="11"/>
      <c r="Y204" s="11"/>
      <c r="AA204" s="437"/>
      <c r="AB204" s="437"/>
      <c r="AC204" s="437"/>
      <c r="AD204" s="437"/>
      <c r="AE204" s="437"/>
      <c r="AF204" s="437"/>
      <c r="AG204" s="437"/>
      <c r="AH204" s="437"/>
      <c r="AI204" s="437"/>
      <c r="AJ204" s="437"/>
      <c r="AK204" s="437"/>
    </row>
    <row r="205" spans="1:37" x14ac:dyDescent="0.25">
      <c r="B205" s="78"/>
      <c r="C205" s="92"/>
      <c r="D205" s="92"/>
      <c r="E205" s="92"/>
      <c r="F205" s="92"/>
      <c r="G205" s="92"/>
      <c r="H205" s="92"/>
      <c r="I205" s="92"/>
      <c r="J205" s="92"/>
      <c r="K205" s="80"/>
      <c r="M205" s="11"/>
      <c r="Y205" s="11"/>
      <c r="AA205" s="437"/>
      <c r="AB205" s="437"/>
      <c r="AC205" s="437"/>
      <c r="AD205" s="437"/>
      <c r="AE205" s="437"/>
      <c r="AF205" s="437"/>
      <c r="AG205" s="437"/>
      <c r="AH205" s="437"/>
      <c r="AI205" s="437"/>
      <c r="AJ205" s="437"/>
      <c r="AK205" s="437"/>
    </row>
    <row r="206" spans="1:37" ht="18.75" x14ac:dyDescent="0.3">
      <c r="B206" s="263" t="s">
        <v>225</v>
      </c>
      <c r="C206" s="264" t="s">
        <v>382</v>
      </c>
      <c r="D206" s="264" t="s">
        <v>263</v>
      </c>
      <c r="E206" s="264" t="s">
        <v>123</v>
      </c>
      <c r="F206" s="92"/>
      <c r="G206" s="265" t="s">
        <v>225</v>
      </c>
      <c r="H206" s="264" t="s">
        <v>1028</v>
      </c>
      <c r="I206" s="264" t="s">
        <v>263</v>
      </c>
      <c r="J206" s="264" t="s">
        <v>123</v>
      </c>
      <c r="K206" s="80"/>
      <c r="M206" s="11"/>
      <c r="Y206" s="11"/>
      <c r="AA206" s="437"/>
      <c r="AB206" s="437"/>
      <c r="AC206" s="437"/>
      <c r="AD206" s="437"/>
      <c r="AE206" s="437"/>
      <c r="AF206" s="437"/>
      <c r="AG206" s="437"/>
      <c r="AH206" s="437"/>
      <c r="AI206" s="437"/>
      <c r="AJ206" s="437"/>
      <c r="AK206" s="437"/>
    </row>
    <row r="207" spans="1:37" ht="18.75" x14ac:dyDescent="0.3">
      <c r="B207" s="266" t="s">
        <v>281</v>
      </c>
      <c r="C207" s="12"/>
      <c r="D207" s="264" t="str">
        <f>IF(E207="R",AB207,"")</f>
        <v/>
      </c>
      <c r="E207" s="265" t="str">
        <f>IF(OR(TRIM(C207)=AA207,TRIM(C207)=AB207),"R",IF(C207="","","F"))</f>
        <v/>
      </c>
      <c r="F207" s="92"/>
      <c r="G207" s="264" t="s">
        <v>258</v>
      </c>
      <c r="H207" s="12"/>
      <c r="I207" s="264" t="str">
        <f>IF(J207="R",AH207,"")</f>
        <v/>
      </c>
      <c r="J207" s="265" t="str">
        <f>IF(OR(TRIM(H207)=AG207,TRIM(H207)=AH207),"R",IF(H207="","","F"))</f>
        <v/>
      </c>
      <c r="K207" s="80"/>
      <c r="M207" s="11"/>
      <c r="Y207" s="11"/>
      <c r="AA207" s="437" t="s">
        <v>323</v>
      </c>
      <c r="AB207" s="437" t="s">
        <v>127</v>
      </c>
      <c r="AC207" s="437"/>
      <c r="AD207" s="437"/>
      <c r="AE207" s="437"/>
      <c r="AF207" s="437"/>
      <c r="AG207" s="437" t="s">
        <v>340</v>
      </c>
      <c r="AH207" s="437" t="s">
        <v>195</v>
      </c>
      <c r="AI207" s="437"/>
      <c r="AJ207" s="437"/>
      <c r="AK207" s="437"/>
    </row>
    <row r="208" spans="1:37" ht="18.75" x14ac:dyDescent="0.3">
      <c r="B208" s="266" t="s">
        <v>282</v>
      </c>
      <c r="C208" s="12"/>
      <c r="D208" s="264" t="str">
        <f>IF(E208="R",AB208,"")</f>
        <v/>
      </c>
      <c r="E208" s="265" t="str">
        <f>IF(OR(TRIM(C208)=AA208,TRIM(C208)=AB208),"R",IF(C208="","","F"))</f>
        <v/>
      </c>
      <c r="F208" s="92"/>
      <c r="G208" s="264" t="s">
        <v>259</v>
      </c>
      <c r="H208" s="12"/>
      <c r="I208" s="264" t="str">
        <f>IF(J208="R",AH208,"")</f>
        <v/>
      </c>
      <c r="J208" s="265" t="str">
        <f>IF(OR(TRIM(H208)=AG208,TRIM(H208)=AH208),"R",IF(H208="","","F"))</f>
        <v/>
      </c>
      <c r="K208" s="80"/>
      <c r="M208" s="11"/>
      <c r="Y208" s="11"/>
      <c r="AA208" s="437" t="s">
        <v>296</v>
      </c>
      <c r="AB208" s="437" t="s">
        <v>133</v>
      </c>
      <c r="AC208" s="437"/>
      <c r="AD208" s="437"/>
      <c r="AE208" s="437"/>
      <c r="AF208" s="437"/>
      <c r="AG208" s="437" t="s">
        <v>353</v>
      </c>
      <c r="AH208" s="437" t="s">
        <v>161</v>
      </c>
      <c r="AI208" s="437"/>
      <c r="AJ208" s="437"/>
      <c r="AK208" s="437"/>
    </row>
    <row r="209" spans="1:37" ht="18.75" x14ac:dyDescent="0.3">
      <c r="B209" s="266" t="s">
        <v>265</v>
      </c>
      <c r="C209" s="12"/>
      <c r="D209" s="264" t="str">
        <f>IF(E209="R",AB209,"")</f>
        <v/>
      </c>
      <c r="E209" s="265" t="str">
        <f>IF(OR(TRIM(C209)=AA209,TRIM(C209)=AB209),"R",IF(C209="","","F"))</f>
        <v/>
      </c>
      <c r="F209" s="92"/>
      <c r="G209" s="264" t="s">
        <v>264</v>
      </c>
      <c r="H209" s="12"/>
      <c r="I209" s="264" t="str">
        <f>IF(J209="R",AH209,"")</f>
        <v/>
      </c>
      <c r="J209" s="265" t="str">
        <f>IF(OR(TRIM(H209)=AG209,TRIM(H209)=AH209),"R",IF(H209="","","F"))</f>
        <v/>
      </c>
      <c r="K209" s="80"/>
      <c r="M209" s="11"/>
      <c r="Y209" s="11"/>
      <c r="AA209" s="437" t="s">
        <v>383</v>
      </c>
      <c r="AB209" s="437" t="s">
        <v>451</v>
      </c>
      <c r="AC209" s="437"/>
      <c r="AD209" s="437"/>
      <c r="AE209" s="437"/>
      <c r="AF209" s="437"/>
      <c r="AG209" s="437" t="s">
        <v>384</v>
      </c>
      <c r="AH209" s="437" t="s">
        <v>452</v>
      </c>
      <c r="AI209" s="437"/>
      <c r="AJ209" s="437"/>
      <c r="AK209" s="437"/>
    </row>
    <row r="210" spans="1:37" x14ac:dyDescent="0.25">
      <c r="B210" s="78"/>
      <c r="C210" s="92"/>
      <c r="D210" s="92"/>
      <c r="E210" s="92"/>
      <c r="F210" s="92"/>
      <c r="G210" s="92"/>
      <c r="H210" s="92" t="str">
        <f>IF(H209="nh42co3","du skal skrive paranteser rundt om sammensatte ioner, når der er flere end en", "")</f>
        <v/>
      </c>
      <c r="I210" s="92"/>
      <c r="J210" s="92"/>
      <c r="K210" s="80"/>
      <c r="M210" s="11"/>
      <c r="Y210" s="11"/>
      <c r="AA210" s="437"/>
      <c r="AB210" s="437"/>
      <c r="AC210" s="437"/>
      <c r="AD210" s="437"/>
      <c r="AE210" s="437"/>
      <c r="AF210" s="437"/>
      <c r="AG210" s="437"/>
      <c r="AH210" s="437"/>
      <c r="AI210" s="437"/>
      <c r="AJ210" s="437"/>
      <c r="AK210" s="437"/>
    </row>
    <row r="211" spans="1:37" x14ac:dyDescent="0.25">
      <c r="B211" s="78"/>
      <c r="C211" s="92"/>
      <c r="D211" s="92"/>
      <c r="E211" s="92"/>
      <c r="F211" s="92"/>
      <c r="G211" s="92"/>
      <c r="H211" s="92"/>
      <c r="I211" s="92"/>
      <c r="J211" s="92"/>
      <c r="K211" s="80"/>
      <c r="M211" s="11"/>
      <c r="Y211" s="11"/>
      <c r="AA211" s="437"/>
      <c r="AB211" s="437"/>
      <c r="AC211" s="437"/>
      <c r="AD211" s="437"/>
      <c r="AE211" s="437"/>
      <c r="AF211" s="437"/>
      <c r="AG211" s="437"/>
      <c r="AH211" s="437"/>
      <c r="AI211" s="437"/>
      <c r="AJ211" s="437"/>
      <c r="AK211" s="437"/>
    </row>
    <row r="212" spans="1:37" x14ac:dyDescent="0.25">
      <c r="B212" s="78" t="str" cm="1">
        <f t="array" ref="B212">IF(AND(E214:E215="R",G214:G215="R"),"",IF(AND(E207:E209="R",J207:J209="R"),"Flot! - Sammensæt opløsningens ioner, således du danner 2 nye neutrale ionforbindelser","Udfyld ovenstående lyseblå felter, inden du går videre"))</f>
        <v>Udfyld ovenstående lyseblå felter, inden du går videre</v>
      </c>
      <c r="C212" s="92"/>
      <c r="D212" s="92"/>
      <c r="E212" s="92"/>
      <c r="F212" s="92"/>
      <c r="G212" s="92"/>
      <c r="H212" s="92"/>
      <c r="I212" s="92"/>
      <c r="J212" s="92"/>
      <c r="K212" s="80"/>
      <c r="M212" s="11"/>
      <c r="Y212" s="11"/>
      <c r="AA212" s="437"/>
      <c r="AB212" s="437"/>
      <c r="AC212" s="437"/>
      <c r="AD212" s="437"/>
      <c r="AE212" s="437"/>
      <c r="AF212" s="437"/>
      <c r="AG212" s="437"/>
      <c r="AH212" s="437"/>
      <c r="AI212" s="437"/>
      <c r="AJ212" s="437"/>
      <c r="AK212" s="437"/>
    </row>
    <row r="213" spans="1:37" ht="18.75" x14ac:dyDescent="0.3">
      <c r="B213" s="263" t="s">
        <v>1027</v>
      </c>
      <c r="C213" s="264" t="str" cm="1">
        <f t="array" ref="C213">IF(AND(E207:E209="R",J207:J209="R"),"Kemisk formel","")</f>
        <v/>
      </c>
      <c r="D213" s="264" t="str" cm="1">
        <f t="array" ref="D213">IF(AND(E207:E209="R",J207:J209="R"),"Opskrevet korrekt","")</f>
        <v/>
      </c>
      <c r="E213" s="264" t="str" cm="1">
        <f t="array" ref="E213">IF(AND(E207:E209="R",J207:J209="R"),"Tjek","")</f>
        <v/>
      </c>
      <c r="F213" s="264" t="str" cm="1">
        <f t="array" ref="F213">IF(AND(E207:E209="R",J207:J209="R"),"Navne på de nye ionforbindelser","")</f>
        <v/>
      </c>
      <c r="G213" s="264" t="str" cm="1">
        <f t="array" ref="G213">IF(AND(E207:E209="R",J207:J209="R"),"Tjek:","")</f>
        <v/>
      </c>
      <c r="H213" s="92"/>
      <c r="I213" s="92"/>
      <c r="J213" s="92"/>
      <c r="K213" s="80"/>
      <c r="M213" s="11"/>
      <c r="Y213" s="11"/>
      <c r="AA213" s="437"/>
      <c r="AB213" s="437"/>
      <c r="AC213" s="437"/>
      <c r="AD213" s="437"/>
      <c r="AE213" s="437"/>
      <c r="AF213" s="437"/>
      <c r="AG213" s="437"/>
      <c r="AH213" s="437"/>
      <c r="AI213" s="437"/>
      <c r="AJ213" s="437"/>
      <c r="AK213" s="437"/>
    </row>
    <row r="214" spans="1:37" ht="18.75" x14ac:dyDescent="0.3">
      <c r="B214" s="268" t="s">
        <v>279</v>
      </c>
      <c r="C214" s="269"/>
      <c r="D214" s="270" t="str">
        <f>IF(OR(C214=AA215,AB215=C214),AB215,IF(OR(C214=AA214,C214=AB214),AB214,""))</f>
        <v/>
      </c>
      <c r="E214" s="271" t="str">
        <f>IF(OR(TRIM(C214)=AA214,TRIM(C214)=AB214,TRIM(C214)=AA215,TRIM(C214)=AB215),"R",IF(D214="","","F"))</f>
        <v/>
      </c>
      <c r="F214" s="269"/>
      <c r="G214" s="271" t="str">
        <f>IF(OR(F214=AD214,F214=AD215),"R",IF(F214="","","F"))</f>
        <v/>
      </c>
      <c r="H214" s="92"/>
      <c r="I214" s="92"/>
      <c r="J214" s="92"/>
      <c r="K214" s="80"/>
      <c r="M214" s="11"/>
      <c r="Y214" s="11"/>
      <c r="AA214" s="437" t="s">
        <v>385</v>
      </c>
      <c r="AB214" s="437" t="s">
        <v>453</v>
      </c>
      <c r="AC214" s="437"/>
      <c r="AD214" s="437" t="s">
        <v>387</v>
      </c>
      <c r="AE214" s="437"/>
      <c r="AF214" s="437"/>
      <c r="AG214" s="437"/>
      <c r="AH214" s="437"/>
      <c r="AI214" s="437"/>
      <c r="AJ214" s="437"/>
      <c r="AK214" s="437"/>
    </row>
    <row r="215" spans="1:37" ht="18.75" x14ac:dyDescent="0.3">
      <c r="B215" s="266" t="s">
        <v>280</v>
      </c>
      <c r="C215" s="267"/>
      <c r="D215" s="264" t="str">
        <f>IF(OR(C215=AA215,AB215=C215),AB215,IF(OR(C215=AA214,C215=AB214),AB214,""))</f>
        <v/>
      </c>
      <c r="E215" s="271" t="str">
        <f>IF(AND(D215&lt;&gt;"",D214=D215),"F",IF(OR(TRIM(C215)=AA214,TRIM(C215)=AB214,TRIM(C215)=AA215,TRIM(C215)=AB215),"R",IF(D215="","","F")))</f>
        <v/>
      </c>
      <c r="F215" s="267"/>
      <c r="G215" s="265" t="str">
        <f>IF(OR(F215=AD215,F215=AD214),"R",IF(F215="","","F"))</f>
        <v/>
      </c>
      <c r="H215" s="92"/>
      <c r="I215" s="92"/>
      <c r="J215" s="92"/>
      <c r="K215" s="80"/>
      <c r="M215" s="11"/>
      <c r="Y215" s="11"/>
      <c r="AA215" s="437" t="s">
        <v>386</v>
      </c>
      <c r="AB215" s="437" t="s">
        <v>454</v>
      </c>
      <c r="AC215" s="437"/>
      <c r="AD215" s="437" t="s">
        <v>388</v>
      </c>
      <c r="AE215" s="437"/>
      <c r="AF215" s="437"/>
      <c r="AG215" s="437"/>
      <c r="AH215" s="437"/>
      <c r="AI215" s="437"/>
      <c r="AJ215" s="437"/>
      <c r="AK215" s="437"/>
    </row>
    <row r="216" spans="1:37" x14ac:dyDescent="0.25">
      <c r="B216" s="78"/>
      <c r="C216" s="92"/>
      <c r="D216" s="92"/>
      <c r="E216" s="92" t="str">
        <f>IF(AND(OR(E214="R",E215="R"),D214=D215), "hov du skal lave 2 forskellige ionforbindelser - du må ikke bare skrive den samme 2 gange","")</f>
        <v/>
      </c>
      <c r="F216" s="92"/>
      <c r="G216" s="92"/>
      <c r="H216" s="92"/>
      <c r="I216" s="92"/>
      <c r="J216" s="92"/>
      <c r="K216" s="80"/>
      <c r="M216" s="11"/>
      <c r="Y216" s="11"/>
      <c r="AA216" s="437"/>
      <c r="AB216" s="437"/>
      <c r="AC216" s="437"/>
      <c r="AD216" s="437"/>
      <c r="AE216" s="437"/>
      <c r="AF216" s="437"/>
      <c r="AG216" s="437"/>
      <c r="AH216" s="437"/>
      <c r="AI216" s="437"/>
      <c r="AJ216" s="437"/>
      <c r="AK216" s="437"/>
    </row>
    <row r="217" spans="1:37" x14ac:dyDescent="0.25">
      <c r="B217" s="78" t="str" cm="1">
        <f t="array" ref="B217">IF(AND(E214:E215="R"),"Sejt! - Nu er du klar til af afstemme reaktionsskemaet med koefficienter - hvis der ikke skal være nogen koefficient, skal du skrive 1","Udfyld ovenstående lyseblå felter, inden du går videre")</f>
        <v>Udfyld ovenstående lyseblå felter, inden du går videre</v>
      </c>
      <c r="C217" s="92"/>
      <c r="D217" s="92"/>
      <c r="E217" s="92"/>
      <c r="F217" s="92"/>
      <c r="G217" s="92"/>
      <c r="H217" s="92"/>
      <c r="I217" s="92"/>
      <c r="J217" s="92"/>
      <c r="K217" s="80"/>
      <c r="M217" s="11"/>
      <c r="Y217" s="11"/>
      <c r="AA217" s="437"/>
      <c r="AB217" s="437"/>
      <c r="AC217" s="437"/>
      <c r="AD217" s="437"/>
      <c r="AE217" s="437"/>
      <c r="AF217" s="437"/>
      <c r="AG217" s="437"/>
      <c r="AH217" s="437"/>
      <c r="AI217" s="437"/>
      <c r="AJ217" s="437"/>
      <c r="AK217" s="437"/>
    </row>
    <row r="218" spans="1:37" ht="18.75" x14ac:dyDescent="0.3">
      <c r="B218" s="265" t="s">
        <v>731</v>
      </c>
      <c r="C218" s="272"/>
      <c r="D218" s="273" t="str">
        <f>IF(E209="R",D209&amp;"   +","")</f>
        <v/>
      </c>
      <c r="E218" s="274"/>
      <c r="F218" s="273" t="str">
        <f>IF(J209="R",I209,"")</f>
        <v/>
      </c>
      <c r="G218" s="273" t="s">
        <v>48</v>
      </c>
      <c r="H218" s="274"/>
      <c r="I218" s="273" t="str">
        <f>IF(OR(D214=AB214,D215=AB214),AB214&amp;"   +","")</f>
        <v/>
      </c>
      <c r="J218" s="274"/>
      <c r="K218" s="275" t="str">
        <f>IF(OR(D214=AB215,D215=AB215),AB215,"")</f>
        <v/>
      </c>
      <c r="M218" s="11"/>
      <c r="Y218" s="11"/>
      <c r="AA218" s="437">
        <v>1</v>
      </c>
      <c r="AB218" s="437"/>
      <c r="AC218" s="437">
        <v>1</v>
      </c>
      <c r="AD218" s="437"/>
      <c r="AE218" s="437"/>
      <c r="AF218" s="437">
        <v>1</v>
      </c>
      <c r="AG218" s="437"/>
      <c r="AH218" s="437">
        <v>3</v>
      </c>
      <c r="AI218" s="437"/>
      <c r="AJ218" s="437"/>
      <c r="AK218" s="437"/>
    </row>
    <row r="219" spans="1:37" ht="18.75" x14ac:dyDescent="0.3">
      <c r="B219" s="265" t="s">
        <v>283</v>
      </c>
      <c r="C219" s="278"/>
      <c r="D219" s="279" t="str">
        <f>C206</f>
        <v>Aluminiumbromid</v>
      </c>
      <c r="E219" s="278"/>
      <c r="F219" s="279" t="str">
        <f>H206</f>
        <v>Kaliumphosphat</v>
      </c>
      <c r="G219" s="279"/>
      <c r="H219" s="278"/>
      <c r="I219" s="279" t="str">
        <f>IF(OR(F214=AD214,F215=AD214),AD214,"")</f>
        <v/>
      </c>
      <c r="J219" s="278"/>
      <c r="K219" s="279" t="str">
        <f>IF(OR(F214=AD215,F215=AD215),AD215,"")</f>
        <v/>
      </c>
      <c r="M219" s="11"/>
      <c r="Y219" s="11"/>
      <c r="AA219" s="437"/>
      <c r="AB219" s="437"/>
      <c r="AC219" s="437"/>
      <c r="AD219" s="437"/>
      <c r="AE219" s="437"/>
      <c r="AF219" s="437"/>
      <c r="AG219" s="437"/>
      <c r="AH219" s="437"/>
      <c r="AI219" s="437"/>
      <c r="AJ219" s="437"/>
      <c r="AK219" s="437"/>
    </row>
    <row r="220" spans="1:37" ht="18.75" x14ac:dyDescent="0.3">
      <c r="B220" s="280" t="s">
        <v>123</v>
      </c>
      <c r="C220" s="265" t="str">
        <f>IF(C218=AA218,"R",IF(C218="","","F"))</f>
        <v/>
      </c>
      <c r="D220" s="280"/>
      <c r="E220" s="265" t="str">
        <f>IF(E218=AC218,"R",IF(E218="","","F"))</f>
        <v/>
      </c>
      <c r="F220" s="265"/>
      <c r="G220" s="265"/>
      <c r="H220" s="265" t="str">
        <f>IF(H218=AF218,"R",IF(H218="","","F"))</f>
        <v/>
      </c>
      <c r="I220" s="265"/>
      <c r="J220" s="265" t="str">
        <f>IF(J218=AH218,"R",IF(J218="","","F"))</f>
        <v/>
      </c>
      <c r="K220" s="263"/>
      <c r="M220" s="11"/>
      <c r="Y220" s="11"/>
      <c r="AA220" s="437"/>
      <c r="AB220" s="437"/>
      <c r="AC220" s="437"/>
      <c r="AD220" s="437"/>
      <c r="AE220" s="437"/>
      <c r="AF220" s="437"/>
      <c r="AG220" s="437"/>
      <c r="AH220" s="437"/>
      <c r="AI220" s="437"/>
      <c r="AJ220" s="437"/>
      <c r="AK220" s="437"/>
    </row>
    <row r="221" spans="1:37" x14ac:dyDescent="0.25">
      <c r="B221" s="88"/>
      <c r="C221" s="96"/>
      <c r="D221" s="96"/>
      <c r="E221" s="96"/>
      <c r="F221" s="96"/>
      <c r="G221" s="96"/>
      <c r="H221" s="96"/>
      <c r="I221" s="96"/>
      <c r="J221" s="96"/>
      <c r="K221" s="86"/>
      <c r="M221" s="11"/>
      <c r="Y221" s="11"/>
      <c r="AA221" s="437"/>
      <c r="AB221" s="437"/>
      <c r="AC221" s="437"/>
      <c r="AD221" s="437"/>
      <c r="AE221" s="437"/>
      <c r="AF221" s="437"/>
      <c r="AG221" s="437"/>
      <c r="AH221" s="437"/>
      <c r="AI221" s="437"/>
      <c r="AJ221" s="437"/>
      <c r="AK221" s="437"/>
    </row>
    <row r="222" spans="1:37" x14ac:dyDescent="0.25">
      <c r="A222" s="18"/>
      <c r="B222" s="87" t="str">
        <f>IF(AND(C220="R",E220="R",H220="R",J220="R"),"Flot det endelige reaktionsskema er nemlig:                AlCl₃ (aq) +K₃PO₄ (aq) ⟶ AlPO₄ (s) + 3KBr (aq)                      Bemærk at aluminiumphosphat vil udfældes","")</f>
        <v/>
      </c>
      <c r="C222" s="96"/>
      <c r="D222" s="96"/>
      <c r="E222" s="96"/>
      <c r="F222" s="96"/>
      <c r="G222" s="96"/>
      <c r="H222" s="96"/>
      <c r="I222" s="96"/>
      <c r="J222" s="96"/>
      <c r="K222" s="86"/>
      <c r="M222" s="11"/>
      <c r="Y222" s="11"/>
      <c r="AA222" s="437"/>
      <c r="AB222" s="437"/>
      <c r="AC222" s="437"/>
      <c r="AD222" s="437"/>
      <c r="AE222" s="437"/>
      <c r="AF222" s="437"/>
      <c r="AG222" s="437"/>
      <c r="AH222" s="437"/>
      <c r="AI222" s="437"/>
      <c r="AJ222" s="437"/>
      <c r="AK222" s="437"/>
    </row>
    <row r="223" spans="1:37" x14ac:dyDescent="0.25">
      <c r="C223" s="28"/>
      <c r="D223" s="28"/>
      <c r="E223" s="28"/>
      <c r="F223" s="28"/>
      <c r="G223" s="28"/>
      <c r="H223" s="28"/>
      <c r="I223" s="28"/>
      <c r="J223" s="28"/>
      <c r="M223" s="11"/>
      <c r="Y223" s="11"/>
      <c r="AA223" s="437"/>
      <c r="AB223" s="437"/>
      <c r="AC223" s="437"/>
      <c r="AD223" s="437"/>
      <c r="AE223" s="437"/>
      <c r="AF223" s="437"/>
      <c r="AG223" s="437"/>
      <c r="AH223" s="437"/>
      <c r="AI223" s="437"/>
      <c r="AJ223" s="437"/>
      <c r="AK223" s="437"/>
    </row>
    <row r="224" spans="1:37" x14ac:dyDescent="0.25">
      <c r="C224" s="28"/>
      <c r="D224" s="28"/>
      <c r="E224" s="28"/>
      <c r="F224" s="28"/>
      <c r="G224" s="28"/>
      <c r="H224" s="28"/>
      <c r="I224" s="28"/>
      <c r="J224" s="28"/>
      <c r="M224" s="11"/>
      <c r="Y224" s="11"/>
      <c r="AA224" s="437"/>
      <c r="AB224" s="437"/>
      <c r="AC224" s="437"/>
      <c r="AD224" s="437"/>
      <c r="AE224" s="437"/>
      <c r="AF224" s="437"/>
      <c r="AG224" s="437"/>
      <c r="AH224" s="437"/>
      <c r="AI224" s="437"/>
      <c r="AJ224" s="437"/>
      <c r="AK224" s="437"/>
    </row>
    <row r="225" spans="2:37" ht="28.5" x14ac:dyDescent="0.45">
      <c r="B225" s="89" t="s">
        <v>334</v>
      </c>
      <c r="C225" s="90"/>
      <c r="D225" s="90"/>
      <c r="E225" s="90"/>
      <c r="F225" s="90"/>
      <c r="G225" s="90"/>
      <c r="H225" s="90"/>
      <c r="I225" s="90"/>
      <c r="J225" s="90"/>
      <c r="K225" s="85"/>
      <c r="M225" s="11"/>
      <c r="Y225" s="11"/>
      <c r="AA225" s="437"/>
      <c r="AB225" s="437"/>
      <c r="AC225" s="437"/>
      <c r="AD225" s="437"/>
      <c r="AE225" s="437"/>
      <c r="AF225" s="437"/>
      <c r="AG225" s="437"/>
      <c r="AH225" s="437"/>
      <c r="AI225" s="437"/>
      <c r="AJ225" s="437"/>
      <c r="AK225" s="437"/>
    </row>
    <row r="226" spans="2:37" x14ac:dyDescent="0.25">
      <c r="B226" s="78" t="s">
        <v>480</v>
      </c>
      <c r="C226" s="92"/>
      <c r="D226" s="92"/>
      <c r="E226" s="92"/>
      <c r="F226" s="92"/>
      <c r="G226" s="92"/>
      <c r="H226" s="92"/>
      <c r="I226" s="92"/>
      <c r="J226" s="92"/>
      <c r="K226" s="80"/>
      <c r="M226" s="11"/>
      <c r="Y226" s="11"/>
      <c r="AA226" s="437"/>
      <c r="AB226" s="437"/>
      <c r="AC226" s="437"/>
      <c r="AD226" s="437"/>
      <c r="AE226" s="437"/>
      <c r="AF226" s="437"/>
      <c r="AG226" s="437"/>
      <c r="AH226" s="437"/>
      <c r="AI226" s="437"/>
      <c r="AJ226" s="437"/>
      <c r="AK226" s="437"/>
    </row>
    <row r="227" spans="2:37" x14ac:dyDescent="0.25">
      <c r="B227" s="78"/>
      <c r="C227" s="92"/>
      <c r="D227" s="92"/>
      <c r="E227" s="92"/>
      <c r="F227" s="92"/>
      <c r="G227" s="92"/>
      <c r="H227" s="92"/>
      <c r="I227" s="92"/>
      <c r="J227" s="92"/>
      <c r="K227" s="80"/>
      <c r="M227" s="11"/>
      <c r="Y227" s="11"/>
      <c r="AA227" s="437"/>
      <c r="AB227" s="437"/>
      <c r="AC227" s="437"/>
      <c r="AD227" s="437"/>
      <c r="AE227" s="437"/>
      <c r="AF227" s="437"/>
      <c r="AG227" s="437"/>
      <c r="AH227" s="437"/>
      <c r="AI227" s="437"/>
      <c r="AJ227" s="437"/>
      <c r="AK227" s="437"/>
    </row>
    <row r="228" spans="2:37" ht="18.75" x14ac:dyDescent="0.3">
      <c r="B228" s="263" t="s">
        <v>225</v>
      </c>
      <c r="C228" s="264" t="s">
        <v>390</v>
      </c>
      <c r="D228" s="264" t="s">
        <v>263</v>
      </c>
      <c r="E228" s="264" t="s">
        <v>123</v>
      </c>
      <c r="F228" s="92"/>
      <c r="G228" s="265" t="s">
        <v>225</v>
      </c>
      <c r="H228" s="264" t="s">
        <v>389</v>
      </c>
      <c r="I228" s="264" t="s">
        <v>263</v>
      </c>
      <c r="J228" s="264" t="s">
        <v>123</v>
      </c>
      <c r="K228" s="80"/>
      <c r="M228" s="11"/>
      <c r="Y228" s="11"/>
      <c r="AA228" s="437"/>
      <c r="AB228" s="437"/>
      <c r="AC228" s="437"/>
      <c r="AD228" s="437"/>
      <c r="AE228" s="437"/>
      <c r="AF228" s="437"/>
      <c r="AG228" s="437"/>
      <c r="AH228" s="437"/>
      <c r="AI228" s="437"/>
      <c r="AJ228" s="437"/>
      <c r="AK228" s="437"/>
    </row>
    <row r="229" spans="2:37" ht="18.75" x14ac:dyDescent="0.3">
      <c r="B229" s="266" t="s">
        <v>281</v>
      </c>
      <c r="C229" s="12"/>
      <c r="D229" s="264" t="str">
        <f>IF(E229="R",AB229,"")</f>
        <v/>
      </c>
      <c r="E229" s="265" t="str">
        <f>IF(OR(TRIM(C229)=AA229,TRIM(C229)=AB229),"R",IF(C229="","","F"))</f>
        <v/>
      </c>
      <c r="F229" s="92"/>
      <c r="G229" s="264" t="s">
        <v>258</v>
      </c>
      <c r="H229" s="12"/>
      <c r="I229" s="264" t="str">
        <f>IF(J229="R",AH229,"")</f>
        <v/>
      </c>
      <c r="J229" s="265" t="str">
        <f>IF(OR(TRIM(H229)=AG229,TRIM(H229)=AH229),"R",IF(H229="","","F"))</f>
        <v/>
      </c>
      <c r="K229" s="80"/>
      <c r="M229" s="11"/>
      <c r="Y229" s="11"/>
      <c r="AA229" s="437" t="s">
        <v>361</v>
      </c>
      <c r="AB229" s="437" t="s">
        <v>135</v>
      </c>
      <c r="AC229" s="437"/>
      <c r="AD229" s="437"/>
      <c r="AE229" s="437"/>
      <c r="AF229" s="437"/>
      <c r="AG229" s="437" t="s">
        <v>352</v>
      </c>
      <c r="AH229" s="437" t="s">
        <v>136</v>
      </c>
      <c r="AI229" s="437"/>
      <c r="AJ229" s="437"/>
      <c r="AK229" s="437"/>
    </row>
    <row r="230" spans="2:37" ht="18.75" x14ac:dyDescent="0.3">
      <c r="B230" s="266" t="s">
        <v>282</v>
      </c>
      <c r="C230" s="12"/>
      <c r="D230" s="264" t="str">
        <f>IF(E230="R",AB230,"")</f>
        <v/>
      </c>
      <c r="E230" s="265" t="str">
        <f>IF(OR(TRIM(C230)=AA230,TRIM(C230)=AB230),"R",IF(C230="","","F"))</f>
        <v/>
      </c>
      <c r="F230" s="92"/>
      <c r="G230" s="264" t="s">
        <v>259</v>
      </c>
      <c r="H230" s="12"/>
      <c r="I230" s="264" t="str">
        <f>IF(J230="R",AH230,"")</f>
        <v/>
      </c>
      <c r="J230" s="265" t="str">
        <f>IF(OR(TRIM(H230)=AG230,TRIM(H230)=AH230),"R",IF(H230="","","F"))</f>
        <v/>
      </c>
      <c r="K230" s="80"/>
      <c r="M230" s="11"/>
      <c r="Y230" s="11"/>
      <c r="AA230" s="437" t="s">
        <v>391</v>
      </c>
      <c r="AB230" s="437" t="s">
        <v>455</v>
      </c>
      <c r="AC230" s="437"/>
      <c r="AD230" s="437"/>
      <c r="AE230" s="437"/>
      <c r="AF230" s="437"/>
      <c r="AG230" s="437" t="s">
        <v>371</v>
      </c>
      <c r="AH230" s="437" t="s">
        <v>126</v>
      </c>
      <c r="AI230" s="437"/>
      <c r="AJ230" s="437"/>
      <c r="AK230" s="437"/>
    </row>
    <row r="231" spans="2:37" ht="18.75" x14ac:dyDescent="0.3">
      <c r="B231" s="266" t="s">
        <v>265</v>
      </c>
      <c r="C231" s="12"/>
      <c r="D231" s="264" t="str">
        <f>IF(E231="R",AB231,"")</f>
        <v/>
      </c>
      <c r="E231" s="265" t="str">
        <f>IF(OR(TRIM(C231)=AA231,TRIM(C231)=AB231),"R",IF(C231="","","F"))</f>
        <v/>
      </c>
      <c r="F231" s="92"/>
      <c r="G231" s="264" t="s">
        <v>264</v>
      </c>
      <c r="H231" s="12"/>
      <c r="I231" s="264" t="str">
        <f>IF(J231="R",AH231,"")</f>
        <v/>
      </c>
      <c r="J231" s="265" t="str">
        <f>IF(OR(TRIM(H231)=AG231,TRIM(H231)=AH231),"R",IF(H231="","","F"))</f>
        <v/>
      </c>
      <c r="K231" s="80"/>
      <c r="M231" s="11"/>
      <c r="Y231" s="11"/>
      <c r="AA231" s="437" t="s">
        <v>392</v>
      </c>
      <c r="AB231" s="437" t="s">
        <v>456</v>
      </c>
      <c r="AC231" s="437"/>
      <c r="AD231" s="437"/>
      <c r="AE231" s="437"/>
      <c r="AF231" s="437"/>
      <c r="AG231" s="437" t="s">
        <v>393</v>
      </c>
      <c r="AH231" s="437" t="s">
        <v>457</v>
      </c>
      <c r="AI231" s="437"/>
      <c r="AJ231" s="437"/>
      <c r="AK231" s="437"/>
    </row>
    <row r="232" spans="2:37" x14ac:dyDescent="0.25">
      <c r="B232" s="78"/>
      <c r="C232" s="92"/>
      <c r="D232" s="92"/>
      <c r="E232" s="92"/>
      <c r="F232" s="92"/>
      <c r="G232" s="92"/>
      <c r="H232" s="92" t="str">
        <f>IF(H231="nh42co3","du skal skrive paranteser rundt om sammensatte ioner, når der er flere end en", "")</f>
        <v/>
      </c>
      <c r="I232" s="92"/>
      <c r="J232" s="92"/>
      <c r="K232" s="80"/>
      <c r="M232" s="11"/>
      <c r="Y232" s="11"/>
      <c r="AA232" s="437"/>
      <c r="AB232" s="437"/>
      <c r="AC232" s="437"/>
      <c r="AD232" s="437"/>
      <c r="AE232" s="437"/>
      <c r="AF232" s="437"/>
      <c r="AG232" s="437"/>
      <c r="AH232" s="437"/>
      <c r="AI232" s="437"/>
      <c r="AJ232" s="437"/>
      <c r="AK232" s="437"/>
    </row>
    <row r="233" spans="2:37" x14ac:dyDescent="0.25">
      <c r="B233" s="78"/>
      <c r="C233" s="92"/>
      <c r="D233" s="92"/>
      <c r="E233" s="92"/>
      <c r="F233" s="92"/>
      <c r="G233" s="92"/>
      <c r="H233" s="92"/>
      <c r="I233" s="92"/>
      <c r="J233" s="92"/>
      <c r="K233" s="80"/>
      <c r="M233" s="11"/>
      <c r="Y233" s="11"/>
      <c r="AA233" s="437"/>
      <c r="AB233" s="437"/>
      <c r="AC233" s="437"/>
      <c r="AD233" s="437"/>
      <c r="AE233" s="437"/>
      <c r="AF233" s="437"/>
      <c r="AG233" s="437"/>
      <c r="AH233" s="437"/>
      <c r="AI233" s="437"/>
      <c r="AJ233" s="437"/>
      <c r="AK233" s="437"/>
    </row>
    <row r="234" spans="2:37" x14ac:dyDescent="0.25">
      <c r="B234" s="78" t="str" cm="1">
        <f t="array" ref="B234">IF(AND(E236:E237="R",G236:G237="R"),"",IF(AND(E229:E231="R",J229:J231="R"),"Flot! - Sammensæt opløsningens ioner, således du danner 2 nye neutrale ionforbindelser","Udfyld ovenstående lyseblå felter, inden du går videre"))</f>
        <v>Udfyld ovenstående lyseblå felter, inden du går videre</v>
      </c>
      <c r="C234" s="92"/>
      <c r="D234" s="92"/>
      <c r="E234" s="92"/>
      <c r="F234" s="92"/>
      <c r="G234" s="92"/>
      <c r="H234" s="92"/>
      <c r="I234" s="92"/>
      <c r="J234" s="92"/>
      <c r="K234" s="80"/>
      <c r="M234" s="11"/>
      <c r="Y234" s="11"/>
      <c r="AA234" s="437"/>
      <c r="AB234" s="437"/>
      <c r="AC234" s="437"/>
      <c r="AD234" s="437"/>
      <c r="AE234" s="437"/>
      <c r="AF234" s="437"/>
      <c r="AG234" s="437"/>
      <c r="AH234" s="437"/>
      <c r="AI234" s="437"/>
      <c r="AJ234" s="437"/>
      <c r="AK234" s="437"/>
    </row>
    <row r="235" spans="2:37" ht="18.75" x14ac:dyDescent="0.3">
      <c r="B235" s="263" t="s">
        <v>1027</v>
      </c>
      <c r="C235" s="264" t="str" cm="1">
        <f t="array" ref="C235">IF(AND(E229:E231="R",J229:J231="R"),"Kemisk formel","")</f>
        <v/>
      </c>
      <c r="D235" s="264" t="str" cm="1">
        <f t="array" ref="D235">IF(AND(E229:E231="R",J229:J231="R"),"Opskrevet korrekt","")</f>
        <v/>
      </c>
      <c r="E235" s="264" t="str" cm="1">
        <f t="array" ref="E235">IF(AND(E229:E231="R",J229:J231="R"),"Tjek","")</f>
        <v/>
      </c>
      <c r="F235" s="264" t="str" cm="1">
        <f t="array" ref="F235">IF(AND(E229:E231="R",J229:J231="R"),"Navne på de nye ionforbindelser","")</f>
        <v/>
      </c>
      <c r="G235" s="264" t="str" cm="1">
        <f t="array" ref="G235">IF(AND(E229:E231="R",J229:J231="R"),"Tjek:","")</f>
        <v/>
      </c>
      <c r="H235" s="92"/>
      <c r="I235" s="92"/>
      <c r="J235" s="92"/>
      <c r="K235" s="80"/>
      <c r="M235" s="11"/>
      <c r="Y235" s="11"/>
      <c r="AA235" s="437"/>
      <c r="AB235" s="437"/>
      <c r="AC235" s="437"/>
      <c r="AD235" s="437"/>
      <c r="AE235" s="437"/>
      <c r="AF235" s="437"/>
      <c r="AG235" s="437"/>
      <c r="AH235" s="437"/>
      <c r="AI235" s="437"/>
      <c r="AJ235" s="437"/>
      <c r="AK235" s="437"/>
    </row>
    <row r="236" spans="2:37" ht="18.75" x14ac:dyDescent="0.3">
      <c r="B236" s="268" t="s">
        <v>279</v>
      </c>
      <c r="C236" s="269"/>
      <c r="D236" s="270" t="str">
        <f>IF(OR(C236=AA237,AB237=C236),AB237,IF(OR(C236=AA236,C236=AB236),AB236,""))</f>
        <v/>
      </c>
      <c r="E236" s="271" t="str">
        <f>IF(OR(TRIM(C236)=AA236,TRIM(C236)=AB236,TRIM(C236)=AA237,TRIM(C236)=AB237),"R",IF(D236="","","F"))</f>
        <v/>
      </c>
      <c r="F236" s="269"/>
      <c r="G236" s="271" t="str">
        <f>IF(OR(F236=AD236,F236=AD237),"R",IF(F236="","","F"))</f>
        <v/>
      </c>
      <c r="H236" s="92"/>
      <c r="I236" s="92"/>
      <c r="J236" s="92"/>
      <c r="K236" s="80"/>
      <c r="M236" s="11"/>
      <c r="Y236" s="11"/>
      <c r="AA236" s="437" t="s">
        <v>394</v>
      </c>
      <c r="AB236" s="437" t="s">
        <v>458</v>
      </c>
      <c r="AC236" s="437"/>
      <c r="AD236" s="437" t="s">
        <v>396</v>
      </c>
      <c r="AE236" s="437"/>
      <c r="AF236" s="437"/>
      <c r="AG236" s="437"/>
      <c r="AH236" s="437"/>
      <c r="AI236" s="437"/>
      <c r="AJ236" s="437"/>
      <c r="AK236" s="437"/>
    </row>
    <row r="237" spans="2:37" ht="18.75" x14ac:dyDescent="0.3">
      <c r="B237" s="266" t="s">
        <v>280</v>
      </c>
      <c r="C237" s="267"/>
      <c r="D237" s="264" t="str">
        <f>IF(OR(C237=AA237,AB237=C237),AB237,IF(OR(C237=AA236,C237=AB236),AB236,""))</f>
        <v/>
      </c>
      <c r="E237" s="271" t="str">
        <f>IF(AND(D237&lt;&gt;"",D236=D237),"F",IF(OR(TRIM(C237)=AA236,TRIM(C237)=AB236,TRIM(C237)=AA237,TRIM(C237)=AB237),"R",IF(D237="","","F")))</f>
        <v/>
      </c>
      <c r="F237" s="267"/>
      <c r="G237" s="265" t="str">
        <f>IF(OR(F237=AD237,F237=AD236),"R",IF(F237="","","F"))</f>
        <v/>
      </c>
      <c r="H237" s="92"/>
      <c r="I237" s="92"/>
      <c r="J237" s="92"/>
      <c r="K237" s="80"/>
      <c r="M237" s="11"/>
      <c r="Y237" s="11"/>
      <c r="AA237" s="437" t="s">
        <v>395</v>
      </c>
      <c r="AB237" s="437" t="s">
        <v>459</v>
      </c>
      <c r="AC237" s="437"/>
      <c r="AD237" s="437" t="s">
        <v>397</v>
      </c>
      <c r="AE237" s="437"/>
      <c r="AF237" s="437"/>
      <c r="AG237" s="437"/>
      <c r="AH237" s="437"/>
      <c r="AI237" s="437"/>
      <c r="AJ237" s="437"/>
      <c r="AK237" s="437"/>
    </row>
    <row r="238" spans="2:37" x14ac:dyDescent="0.25">
      <c r="B238" s="78"/>
      <c r="C238" s="92"/>
      <c r="D238" s="92"/>
      <c r="E238" s="92" t="str">
        <f>IF(AND(OR(E236="R",E237="R"),D236=D237), "hov du skal lave 2 forskellige ionforbindelser - du må ikke bare skrive den samme 2 gange","")</f>
        <v/>
      </c>
      <c r="F238" s="92"/>
      <c r="G238" s="92"/>
      <c r="H238" s="92"/>
      <c r="I238" s="92"/>
      <c r="J238" s="92"/>
      <c r="K238" s="80"/>
      <c r="M238" s="11"/>
      <c r="Y238" s="11"/>
      <c r="AA238" s="437"/>
      <c r="AB238" s="437"/>
      <c r="AC238" s="437"/>
      <c r="AD238" s="437"/>
      <c r="AE238" s="437"/>
      <c r="AF238" s="437"/>
      <c r="AG238" s="437"/>
      <c r="AH238" s="437"/>
      <c r="AI238" s="437"/>
      <c r="AJ238" s="437"/>
      <c r="AK238" s="437"/>
    </row>
    <row r="239" spans="2:37" x14ac:dyDescent="0.25">
      <c r="B239" s="78" t="str" cm="1">
        <f t="array" ref="B239">IF(AND(E236:E237="R"),"Sejt! - Nu er du klar til af afstemme reaktionsskemaet med koefficienter - hvis der ikke skal være nogen koefficient, skal du skrive 1","Udfyld ovenstående lyseblå felter, inden du går videre")</f>
        <v>Udfyld ovenstående lyseblå felter, inden du går videre</v>
      </c>
      <c r="C239" s="92"/>
      <c r="D239" s="92"/>
      <c r="E239" s="92"/>
      <c r="F239" s="92"/>
      <c r="G239" s="92"/>
      <c r="H239" s="92"/>
      <c r="I239" s="92"/>
      <c r="J239" s="92"/>
      <c r="K239" s="80"/>
      <c r="M239" s="11"/>
      <c r="Y239" s="11"/>
      <c r="AA239" s="437"/>
      <c r="AB239" s="437"/>
      <c r="AC239" s="437"/>
      <c r="AD239" s="437"/>
      <c r="AE239" s="437"/>
      <c r="AF239" s="437"/>
      <c r="AG239" s="437"/>
      <c r="AH239" s="437"/>
      <c r="AI239" s="437"/>
      <c r="AJ239" s="437"/>
      <c r="AK239" s="437"/>
    </row>
    <row r="240" spans="2:37" ht="18.75" x14ac:dyDescent="0.3">
      <c r="B240" s="265" t="s">
        <v>732</v>
      </c>
      <c r="C240" s="272"/>
      <c r="D240" s="273" t="str">
        <f>IF(E231="R",D231&amp;"   +","")</f>
        <v/>
      </c>
      <c r="E240" s="274"/>
      <c r="F240" s="273" t="str">
        <f>IF(J231="R",I231,"")</f>
        <v/>
      </c>
      <c r="G240" s="273" t="s">
        <v>48</v>
      </c>
      <c r="H240" s="274"/>
      <c r="I240" s="273" t="str">
        <f>IF(OR(D236=AB236,D237=AB236),AB236&amp;"   +","")</f>
        <v/>
      </c>
      <c r="J240" s="274"/>
      <c r="K240" s="275" t="str">
        <f>IF(OR(D236=AB237,D237=AB237),AB237,"")</f>
        <v/>
      </c>
      <c r="M240" s="11"/>
      <c r="Y240" s="11"/>
      <c r="AA240" s="437">
        <v>1</v>
      </c>
      <c r="AB240" s="437"/>
      <c r="AC240" s="437">
        <v>1</v>
      </c>
      <c r="AD240" s="437"/>
      <c r="AE240" s="437"/>
      <c r="AF240" s="437">
        <v>1</v>
      </c>
      <c r="AG240" s="437"/>
      <c r="AH240" s="437">
        <v>2</v>
      </c>
      <c r="AI240" s="437"/>
      <c r="AJ240" s="437"/>
      <c r="AK240" s="437"/>
    </row>
    <row r="241" spans="2:37" ht="18.75" x14ac:dyDescent="0.3">
      <c r="B241" s="265" t="s">
        <v>283</v>
      </c>
      <c r="C241" s="278"/>
      <c r="D241" s="279" t="str">
        <f>C228</f>
        <v>Bly(II)fluorid</v>
      </c>
      <c r="E241" s="278"/>
      <c r="F241" s="279" t="str">
        <f>H228</f>
        <v>Natriumsulfid</v>
      </c>
      <c r="G241" s="279"/>
      <c r="H241" s="278"/>
      <c r="I241" s="279" t="str">
        <f>IF(OR(F236=AD236,F237=AD236),AD236,"")</f>
        <v/>
      </c>
      <c r="J241" s="278"/>
      <c r="K241" s="279" t="str">
        <f>IF(OR(F236=AD237,F237=AD237),AD237,"")</f>
        <v/>
      </c>
      <c r="M241" s="11"/>
      <c r="Y241" s="11"/>
      <c r="AA241" s="437"/>
      <c r="AB241" s="437"/>
      <c r="AC241" s="437"/>
      <c r="AD241" s="437"/>
      <c r="AE241" s="437"/>
      <c r="AF241" s="437"/>
      <c r="AG241" s="437"/>
      <c r="AH241" s="437"/>
      <c r="AI241" s="437"/>
      <c r="AJ241" s="437"/>
      <c r="AK241" s="437"/>
    </row>
    <row r="242" spans="2:37" ht="18.75" x14ac:dyDescent="0.3">
      <c r="B242" s="280" t="s">
        <v>123</v>
      </c>
      <c r="C242" s="265" t="str">
        <f>IF(C240=AA240,"R",IF(C240="","","F"))</f>
        <v/>
      </c>
      <c r="D242" s="280"/>
      <c r="E242" s="265" t="str">
        <f>IF(E240=AC240,"R",IF(E240="","","F"))</f>
        <v/>
      </c>
      <c r="F242" s="265"/>
      <c r="G242" s="265"/>
      <c r="H242" s="265" t="str">
        <f>IF(H240=AF240,"R",IF(H240="","","F"))</f>
        <v/>
      </c>
      <c r="I242" s="265"/>
      <c r="J242" s="265" t="str">
        <f>IF(J240=AH240,"R",IF(J240="","","F"))</f>
        <v/>
      </c>
      <c r="K242" s="263"/>
      <c r="M242" s="11"/>
      <c r="Y242" s="11"/>
      <c r="AA242" s="437"/>
      <c r="AB242" s="437"/>
      <c r="AC242" s="437"/>
      <c r="AD242" s="437"/>
      <c r="AE242" s="437"/>
      <c r="AF242" s="437"/>
      <c r="AG242" s="437"/>
      <c r="AH242" s="437"/>
      <c r="AI242" s="437"/>
      <c r="AJ242" s="437"/>
      <c r="AK242" s="437"/>
    </row>
    <row r="243" spans="2:37" x14ac:dyDescent="0.25">
      <c r="B243" s="88"/>
      <c r="C243" s="96"/>
      <c r="D243" s="96"/>
      <c r="E243" s="96"/>
      <c r="F243" s="96"/>
      <c r="G243" s="96"/>
      <c r="H243" s="96"/>
      <c r="I243" s="96"/>
      <c r="J243" s="96"/>
      <c r="K243" s="86"/>
      <c r="M243" s="11"/>
      <c r="Y243" s="11"/>
      <c r="AA243" s="437"/>
      <c r="AB243" s="437"/>
      <c r="AC243" s="437"/>
      <c r="AD243" s="437"/>
      <c r="AE243" s="437"/>
      <c r="AF243" s="437"/>
      <c r="AG243" s="437"/>
      <c r="AH243" s="437"/>
      <c r="AI243" s="437"/>
      <c r="AJ243" s="437"/>
      <c r="AK243" s="437"/>
    </row>
    <row r="244" spans="2:37" x14ac:dyDescent="0.25">
      <c r="B244" s="87" t="str">
        <f>IF(AND(C242="R",E242="R",H242="R",J242="R"),"Flot det endelige reaktionsskema er nemlig:                PbF₂ (aq) + Na₂S (aq) ⟶ PbS (s) + 2NaI (aq)                      Bemærk at bly(II)sulfid vil udfældes","")</f>
        <v/>
      </c>
      <c r="C244" s="96"/>
      <c r="D244" s="96"/>
      <c r="E244" s="96"/>
      <c r="F244" s="96"/>
      <c r="G244" s="96"/>
      <c r="H244" s="96"/>
      <c r="I244" s="96"/>
      <c r="J244" s="96"/>
      <c r="K244" s="86"/>
      <c r="M244" s="11"/>
      <c r="Y244" s="11"/>
      <c r="AA244" s="437"/>
      <c r="AB244" s="437"/>
      <c r="AC244" s="437"/>
      <c r="AD244" s="437"/>
      <c r="AE244" s="437"/>
      <c r="AF244" s="437"/>
      <c r="AG244" s="437"/>
      <c r="AH244" s="437"/>
      <c r="AI244" s="437"/>
      <c r="AJ244" s="437"/>
      <c r="AK244" s="437"/>
    </row>
    <row r="245" spans="2:37" x14ac:dyDescent="0.25">
      <c r="B245" s="79"/>
      <c r="C245" s="92"/>
      <c r="D245" s="92"/>
      <c r="E245" s="92"/>
      <c r="F245" s="92"/>
      <c r="G245" s="92"/>
      <c r="H245" s="92"/>
      <c r="I245" s="92"/>
      <c r="J245" s="92"/>
      <c r="K245" s="80"/>
      <c r="M245" s="11"/>
      <c r="Y245" s="11"/>
      <c r="AA245" s="437"/>
      <c r="AB245" s="437"/>
      <c r="AC245" s="437"/>
      <c r="AD245" s="437"/>
      <c r="AE245" s="437"/>
      <c r="AF245" s="437"/>
      <c r="AG245" s="437"/>
      <c r="AH245" s="437"/>
      <c r="AI245" s="437"/>
      <c r="AJ245" s="437"/>
      <c r="AK245" s="437"/>
    </row>
    <row r="246" spans="2:37" x14ac:dyDescent="0.25">
      <c r="B246" s="79"/>
      <c r="C246" s="92"/>
      <c r="D246" s="92"/>
      <c r="E246" s="92"/>
      <c r="F246" s="92"/>
      <c r="G246" s="92"/>
      <c r="H246" s="92"/>
      <c r="I246" s="92"/>
      <c r="J246" s="92"/>
      <c r="K246" s="80"/>
      <c r="M246" s="11"/>
      <c r="Y246" s="11"/>
      <c r="AA246" s="437"/>
      <c r="AB246" s="437"/>
      <c r="AC246" s="437"/>
      <c r="AD246" s="437"/>
      <c r="AE246" s="437"/>
      <c r="AF246" s="437"/>
      <c r="AG246" s="437"/>
      <c r="AH246" s="437"/>
      <c r="AI246" s="437"/>
      <c r="AJ246" s="437"/>
      <c r="AK246" s="437"/>
    </row>
    <row r="247" spans="2:37" ht="28.5" x14ac:dyDescent="0.45">
      <c r="B247" s="89" t="s">
        <v>335</v>
      </c>
      <c r="C247" s="90"/>
      <c r="D247" s="90"/>
      <c r="E247" s="90"/>
      <c r="F247" s="90"/>
      <c r="G247" s="90"/>
      <c r="H247" s="90"/>
      <c r="I247" s="90"/>
      <c r="J247" s="90"/>
      <c r="K247" s="85"/>
      <c r="M247" s="11"/>
      <c r="Y247" s="11"/>
      <c r="AA247" s="437"/>
      <c r="AB247" s="437"/>
      <c r="AC247" s="437"/>
      <c r="AD247" s="437"/>
      <c r="AE247" s="437"/>
      <c r="AF247" s="437"/>
      <c r="AG247" s="437"/>
      <c r="AH247" s="437"/>
      <c r="AI247" s="437"/>
      <c r="AJ247" s="437"/>
      <c r="AK247" s="437"/>
    </row>
    <row r="248" spans="2:37" x14ac:dyDescent="0.25">
      <c r="B248" s="78" t="s">
        <v>481</v>
      </c>
      <c r="C248" s="92"/>
      <c r="D248" s="92"/>
      <c r="E248" s="92"/>
      <c r="F248" s="92"/>
      <c r="G248" s="92"/>
      <c r="H248" s="92"/>
      <c r="I248" s="92"/>
      <c r="J248" s="92"/>
      <c r="K248" s="80"/>
      <c r="M248" s="11"/>
      <c r="Y248" s="11"/>
      <c r="AA248" s="437"/>
      <c r="AB248" s="437"/>
      <c r="AC248" s="437"/>
      <c r="AD248" s="437"/>
      <c r="AE248" s="437"/>
      <c r="AF248" s="437"/>
      <c r="AG248" s="437"/>
      <c r="AH248" s="437"/>
      <c r="AI248" s="437"/>
      <c r="AJ248" s="437"/>
      <c r="AK248" s="437"/>
    </row>
    <row r="249" spans="2:37" x14ac:dyDescent="0.25">
      <c r="B249" s="78"/>
      <c r="C249" s="92"/>
      <c r="D249" s="92"/>
      <c r="E249" s="92"/>
      <c r="F249" s="92"/>
      <c r="G249" s="92"/>
      <c r="H249" s="92"/>
      <c r="I249" s="92"/>
      <c r="J249" s="92"/>
      <c r="K249" s="80"/>
      <c r="M249" s="11"/>
      <c r="Y249" s="11"/>
      <c r="AA249" s="437"/>
      <c r="AB249" s="437"/>
      <c r="AC249" s="437"/>
      <c r="AD249" s="437"/>
      <c r="AE249" s="437"/>
      <c r="AF249" s="437"/>
      <c r="AG249" s="437"/>
      <c r="AH249" s="437"/>
      <c r="AI249" s="437"/>
      <c r="AJ249" s="437"/>
      <c r="AK249" s="437"/>
    </row>
    <row r="250" spans="2:37" ht="18.75" x14ac:dyDescent="0.3">
      <c r="B250" s="263" t="s">
        <v>225</v>
      </c>
      <c r="C250" s="264" t="s">
        <v>398</v>
      </c>
      <c r="D250" s="264" t="s">
        <v>263</v>
      </c>
      <c r="E250" s="264" t="s">
        <v>123</v>
      </c>
      <c r="F250" s="92"/>
      <c r="G250" s="265" t="s">
        <v>225</v>
      </c>
      <c r="H250" s="264" t="s">
        <v>399</v>
      </c>
      <c r="I250" s="264" t="s">
        <v>263</v>
      </c>
      <c r="J250" s="264" t="s">
        <v>123</v>
      </c>
      <c r="K250" s="80"/>
      <c r="M250" s="11"/>
      <c r="Y250" s="11"/>
      <c r="AA250" s="437"/>
      <c r="AB250" s="437"/>
      <c r="AC250" s="437"/>
      <c r="AD250" s="437"/>
      <c r="AE250" s="437"/>
      <c r="AF250" s="437"/>
      <c r="AG250" s="437"/>
      <c r="AH250" s="437"/>
      <c r="AI250" s="437"/>
      <c r="AJ250" s="437"/>
      <c r="AK250" s="437"/>
    </row>
    <row r="251" spans="2:37" ht="18.75" x14ac:dyDescent="0.3">
      <c r="B251" s="266" t="s">
        <v>281</v>
      </c>
      <c r="C251" s="12"/>
      <c r="D251" s="264" t="str">
        <f>IF(E251="R",AB251,"")</f>
        <v/>
      </c>
      <c r="E251" s="265" t="str">
        <f>IF(OR(TRIM(C251)=AA251,TRIM(C251)=AB251),"R",IF(C251="","","F"))</f>
        <v/>
      </c>
      <c r="F251" s="92"/>
      <c r="G251" s="264" t="s">
        <v>258</v>
      </c>
      <c r="H251" s="12"/>
      <c r="I251" s="264" t="str">
        <f>IF(J251="R",AH251,"")</f>
        <v/>
      </c>
      <c r="J251" s="265" t="str">
        <f>IF(OR(TRIM(H251)=AG251,TRIM(H251)=AH251),"R",IF(H251="","","F"))</f>
        <v/>
      </c>
      <c r="K251" s="80"/>
      <c r="M251" s="11"/>
      <c r="Y251" s="11"/>
      <c r="AA251" s="437" t="s">
        <v>369</v>
      </c>
      <c r="AB251" s="437" t="s">
        <v>150</v>
      </c>
      <c r="AC251" s="437"/>
      <c r="AD251" s="437"/>
      <c r="AE251" s="437"/>
      <c r="AF251" s="437"/>
      <c r="AG251" s="437" t="s">
        <v>267</v>
      </c>
      <c r="AH251" s="437" t="s">
        <v>160</v>
      </c>
      <c r="AI251" s="437"/>
      <c r="AJ251" s="437"/>
      <c r="AK251" s="437"/>
    </row>
    <row r="252" spans="2:37" ht="18.75" x14ac:dyDescent="0.3">
      <c r="B252" s="266" t="s">
        <v>282</v>
      </c>
      <c r="C252" s="12"/>
      <c r="D252" s="264" t="str">
        <f>IF(E252="R",AB252,"")</f>
        <v/>
      </c>
      <c r="E252" s="265" t="str">
        <f>IF(OR(TRIM(C252)=AA252,TRIM(C252)=AB252),"R",IF(C252="","","F"))</f>
        <v/>
      </c>
      <c r="F252" s="92"/>
      <c r="G252" s="264" t="s">
        <v>259</v>
      </c>
      <c r="H252" s="12"/>
      <c r="I252" s="264" t="str">
        <f>IF(J252="R",AH252,"")</f>
        <v/>
      </c>
      <c r="J252" s="265" t="str">
        <f>IF(OR(TRIM(H252)=AG252,TRIM(H252)=AH252),"R",IF(H252="","","F"))</f>
        <v/>
      </c>
      <c r="K252" s="80"/>
      <c r="M252" s="11"/>
      <c r="Y252" s="11"/>
      <c r="AA252" s="437" t="s">
        <v>262</v>
      </c>
      <c r="AB252" s="437" t="s">
        <v>157</v>
      </c>
      <c r="AC252" s="437"/>
      <c r="AD252" s="437"/>
      <c r="AE252" s="437"/>
      <c r="AF252" s="437"/>
      <c r="AG252" s="437" t="s">
        <v>353</v>
      </c>
      <c r="AH252" s="437" t="s">
        <v>161</v>
      </c>
      <c r="AI252" s="437"/>
      <c r="AJ252" s="437"/>
      <c r="AK252" s="437"/>
    </row>
    <row r="253" spans="2:37" ht="18.75" x14ac:dyDescent="0.3">
      <c r="B253" s="266" t="s">
        <v>265</v>
      </c>
      <c r="C253" s="12"/>
      <c r="D253" s="264" t="str">
        <f>IF(E253="R",AB253,"")</f>
        <v/>
      </c>
      <c r="E253" s="265" t="str">
        <f>IF(OR(TRIM(C253)=AA253,TRIM(C253)=AB253),"R",IF(C253="","","F"))</f>
        <v/>
      </c>
      <c r="F253" s="92"/>
      <c r="G253" s="264" t="s">
        <v>264</v>
      </c>
      <c r="H253" s="12"/>
      <c r="I253" s="264" t="str">
        <f>IF(J253="R",AH253,"")</f>
        <v/>
      </c>
      <c r="J253" s="265" t="str">
        <f>IF(OR(TRIM(H253)=AG253,TRIM(H253)=AH253),"R",IF(H253="","","F"))</f>
        <v/>
      </c>
      <c r="K253" s="80"/>
      <c r="M253" s="11"/>
      <c r="Y253" s="11"/>
      <c r="AA253" s="437" t="s">
        <v>400</v>
      </c>
      <c r="AB253" s="437" t="s">
        <v>427</v>
      </c>
      <c r="AC253" s="437"/>
      <c r="AD253" s="437"/>
      <c r="AE253" s="437"/>
      <c r="AF253" s="437"/>
      <c r="AG253" s="437" t="s">
        <v>401</v>
      </c>
      <c r="AH253" s="437" t="s">
        <v>428</v>
      </c>
      <c r="AI253" s="437"/>
      <c r="AJ253" s="437"/>
      <c r="AK253" s="437"/>
    </row>
    <row r="254" spans="2:37" x14ac:dyDescent="0.25">
      <c r="B254" s="78"/>
      <c r="C254" s="92"/>
      <c r="D254" s="92"/>
      <c r="E254" s="92"/>
      <c r="F254" s="92"/>
      <c r="G254" s="92"/>
      <c r="H254" s="92" t="str">
        <f>IF(H253="nh42co3","du skal skrive paranteser rundt om sammensatte ioner, når der er flere end en", "")</f>
        <v/>
      </c>
      <c r="I254" s="92"/>
      <c r="J254" s="92"/>
      <c r="K254" s="80"/>
      <c r="M254" s="11"/>
      <c r="Y254" s="11"/>
      <c r="AA254" s="437"/>
      <c r="AB254" s="437"/>
      <c r="AC254" s="437"/>
      <c r="AD254" s="437"/>
      <c r="AE254" s="437"/>
      <c r="AF254" s="437"/>
      <c r="AG254" s="437"/>
      <c r="AH254" s="437"/>
      <c r="AI254" s="437"/>
      <c r="AJ254" s="437"/>
      <c r="AK254" s="437"/>
    </row>
    <row r="255" spans="2:37" x14ac:dyDescent="0.25">
      <c r="B255" s="78"/>
      <c r="C255" s="92"/>
      <c r="D255" s="92"/>
      <c r="E255" s="92"/>
      <c r="F255" s="92"/>
      <c r="G255" s="92"/>
      <c r="H255" s="92"/>
      <c r="I255" s="92"/>
      <c r="J255" s="92"/>
      <c r="K255" s="80"/>
      <c r="M255" s="11"/>
      <c r="Y255" s="11"/>
      <c r="AA255" s="437"/>
      <c r="AB255" s="437"/>
      <c r="AC255" s="437"/>
      <c r="AD255" s="437"/>
      <c r="AE255" s="437"/>
      <c r="AF255" s="437"/>
      <c r="AG255" s="437"/>
      <c r="AH255" s="437"/>
      <c r="AI255" s="437"/>
      <c r="AJ255" s="437"/>
      <c r="AK255" s="437"/>
    </row>
    <row r="256" spans="2:37" x14ac:dyDescent="0.25">
      <c r="B256" s="78" t="str" cm="1">
        <f t="array" ref="B256">IF(AND(E258:E259="R",G258:G259="R"),"",IF(AND(E251:E253="R",J251:J253="R"),"Flot! - Sammensæt opløsningens ioner, således du danner 2 nye neutrale ionforbindelser","Udfyld ovenstående lyseblå felter, inden du går videre"))</f>
        <v>Udfyld ovenstående lyseblå felter, inden du går videre</v>
      </c>
      <c r="C256" s="92"/>
      <c r="D256" s="92"/>
      <c r="E256" s="92"/>
      <c r="F256" s="92"/>
      <c r="G256" s="92"/>
      <c r="H256" s="92"/>
      <c r="I256" s="92"/>
      <c r="J256" s="92"/>
      <c r="K256" s="80"/>
      <c r="M256" s="11"/>
      <c r="Y256" s="11"/>
      <c r="AA256" s="437"/>
      <c r="AB256" s="437"/>
      <c r="AC256" s="437"/>
      <c r="AD256" s="437"/>
      <c r="AE256" s="437"/>
      <c r="AF256" s="437"/>
      <c r="AG256" s="437"/>
      <c r="AH256" s="437"/>
      <c r="AI256" s="437"/>
      <c r="AJ256" s="437"/>
      <c r="AK256" s="437"/>
    </row>
    <row r="257" spans="2:37" ht="18.75" x14ac:dyDescent="0.3">
      <c r="B257" s="263" t="s">
        <v>1027</v>
      </c>
      <c r="C257" s="264" t="str" cm="1">
        <f t="array" ref="C257">IF(AND(E251:E253="R",J251:J253="R"),"Kemisk formel","")</f>
        <v/>
      </c>
      <c r="D257" s="264" t="str" cm="1">
        <f t="array" ref="D257">IF(AND(E251:E253="R",J251:J253="R"),"Opskrevet korrekt","")</f>
        <v/>
      </c>
      <c r="E257" s="264" t="str" cm="1">
        <f t="array" ref="E257">IF(AND(E251:E253="R",J251:J253="R"),"Tjek","")</f>
        <v/>
      </c>
      <c r="F257" s="264" t="str" cm="1">
        <f t="array" ref="F257">IF(AND(E251:E253="R",J251:J253="R"),"Navne på de nye ionforbindelser","")</f>
        <v/>
      </c>
      <c r="G257" s="264" t="str" cm="1">
        <f t="array" ref="G257">IF(AND(E251:E253="R",J251:J253="R"),"Tjek:","")</f>
        <v/>
      </c>
      <c r="H257" s="92"/>
      <c r="I257" s="92"/>
      <c r="J257" s="92"/>
      <c r="K257" s="80"/>
      <c r="M257" s="11"/>
      <c r="Y257" s="11"/>
      <c r="AA257" s="437"/>
      <c r="AB257" s="437"/>
      <c r="AC257" s="437"/>
      <c r="AD257" s="437"/>
      <c r="AE257" s="437"/>
      <c r="AF257" s="437"/>
      <c r="AG257" s="437"/>
      <c r="AH257" s="437"/>
      <c r="AI257" s="437"/>
      <c r="AJ257" s="437"/>
      <c r="AK257" s="437"/>
    </row>
    <row r="258" spans="2:37" ht="18.75" x14ac:dyDescent="0.3">
      <c r="B258" s="268" t="s">
        <v>279</v>
      </c>
      <c r="C258" s="269"/>
      <c r="D258" s="270" t="str">
        <f>IF(OR(C258=AA259,AB259=C258),AB259,IF(OR(C258=AA258,C258=AB258),AB258,""))</f>
        <v/>
      </c>
      <c r="E258" s="271" t="str">
        <f>IF(OR(TRIM(C258)=AA258,TRIM(C258)=AB258,TRIM(C258)=AA259,TRIM(C258)=AB259),"R",IF(D258="","","F"))</f>
        <v/>
      </c>
      <c r="F258" s="269"/>
      <c r="G258" s="271" t="str">
        <f>IF(OR(F258=AD258,F258=AD259),"R",IF(F258="","","F"))</f>
        <v/>
      </c>
      <c r="H258" s="92"/>
      <c r="I258" s="92"/>
      <c r="J258" s="92"/>
      <c r="K258" s="80"/>
      <c r="M258" s="11"/>
      <c r="Y258" s="11"/>
      <c r="AA258" s="437" t="s">
        <v>402</v>
      </c>
      <c r="AB258" s="437" t="s">
        <v>429</v>
      </c>
      <c r="AC258" s="437"/>
      <c r="AD258" s="437" t="s">
        <v>403</v>
      </c>
      <c r="AE258" s="437"/>
      <c r="AF258" s="437"/>
      <c r="AG258" s="437"/>
      <c r="AH258" s="437"/>
      <c r="AI258" s="437"/>
      <c r="AJ258" s="437"/>
      <c r="AK258" s="437"/>
    </row>
    <row r="259" spans="2:37" ht="18.75" x14ac:dyDescent="0.3">
      <c r="B259" s="266" t="s">
        <v>280</v>
      </c>
      <c r="C259" s="267"/>
      <c r="D259" s="264" t="str">
        <f>IF(OR(C259=AA259,AB259=C259),AB259,IF(OR(C259=AA258,C259=AB258),AB258,""))</f>
        <v/>
      </c>
      <c r="E259" s="271" t="str">
        <f>IF(AND(D259&lt;&gt;"",D258=D259),"F",IF(OR(TRIM(C259)=AA258,TRIM(C259)=AB258,TRIM(C259)=AA259,TRIM(C259)=AB259),"R",IF(D259="","","F")))</f>
        <v/>
      </c>
      <c r="F259" s="267"/>
      <c r="G259" s="265" t="str">
        <f>IF(OR(F259=AD259,F259=AD258),"R",IF(F259="","","F"))</f>
        <v/>
      </c>
      <c r="H259" s="92"/>
      <c r="I259" s="92"/>
      <c r="J259" s="92"/>
      <c r="K259" s="80"/>
      <c r="M259" s="11"/>
      <c r="Y259" s="11"/>
      <c r="AA259" s="437" t="s">
        <v>275</v>
      </c>
      <c r="AB259" s="437" t="s">
        <v>273</v>
      </c>
      <c r="AC259" s="437"/>
      <c r="AD259" s="437" t="s">
        <v>277</v>
      </c>
      <c r="AE259" s="437"/>
      <c r="AF259" s="437"/>
      <c r="AG259" s="437"/>
      <c r="AH259" s="437"/>
      <c r="AI259" s="437"/>
      <c r="AJ259" s="437"/>
      <c r="AK259" s="437"/>
    </row>
    <row r="260" spans="2:37" x14ac:dyDescent="0.25">
      <c r="B260" s="78"/>
      <c r="C260" s="92"/>
      <c r="D260" s="92"/>
      <c r="E260" s="92" t="str">
        <f>IF(AND(OR(E258="R",E259="R"),D258=D259), "hov du skal lave 2 forskellige ionforbindelser - du må ikke bare skrive den samme 2 gange","")</f>
        <v/>
      </c>
      <c r="F260" s="92"/>
      <c r="G260" s="92"/>
      <c r="H260" s="92"/>
      <c r="I260" s="92"/>
      <c r="J260" s="92"/>
      <c r="K260" s="80"/>
      <c r="M260" s="11"/>
      <c r="Y260" s="11"/>
      <c r="AA260" s="437"/>
      <c r="AB260" s="437"/>
      <c r="AC260" s="437"/>
      <c r="AD260" s="437"/>
      <c r="AE260" s="437"/>
      <c r="AF260" s="437"/>
      <c r="AG260" s="437"/>
      <c r="AH260" s="437"/>
      <c r="AI260" s="437"/>
      <c r="AJ260" s="437"/>
      <c r="AK260" s="437"/>
    </row>
    <row r="261" spans="2:37" x14ac:dyDescent="0.25">
      <c r="B261" s="78" t="str" cm="1">
        <f t="array" ref="B261">IF(AND(E258:E259="R"),"Sejt! - Nu er du klar til af afstemme reaktionsskemaet med koefficienter - hvis der ikke skal være nogen koefficient, skal du skrive 1","Udfyld ovenstående lyseblå felter, inden du går videre")</f>
        <v>Udfyld ovenstående lyseblå felter, inden du går videre</v>
      </c>
      <c r="C261" s="92"/>
      <c r="D261" s="92"/>
      <c r="E261" s="92"/>
      <c r="F261" s="92"/>
      <c r="G261" s="92"/>
      <c r="H261" s="92"/>
      <c r="I261" s="92"/>
      <c r="J261" s="92"/>
      <c r="K261" s="80"/>
      <c r="M261" s="11"/>
      <c r="Y261" s="11"/>
      <c r="AA261" s="437"/>
      <c r="AB261" s="437"/>
      <c r="AC261" s="437"/>
      <c r="AD261" s="437"/>
      <c r="AE261" s="437"/>
      <c r="AF261" s="437"/>
      <c r="AG261" s="437"/>
      <c r="AH261" s="437"/>
      <c r="AI261" s="437"/>
      <c r="AJ261" s="437"/>
      <c r="AK261" s="437"/>
    </row>
    <row r="262" spans="2:37" ht="18.75" x14ac:dyDescent="0.3">
      <c r="B262" s="265" t="s">
        <v>733</v>
      </c>
      <c r="C262" s="272"/>
      <c r="D262" s="273" t="str">
        <f>IF(E253="R",D253&amp;"   +","")</f>
        <v/>
      </c>
      <c r="E262" s="274"/>
      <c r="F262" s="273" t="str">
        <f>IF(J253="R",I253,"")</f>
        <v/>
      </c>
      <c r="G262" s="273" t="s">
        <v>48</v>
      </c>
      <c r="H262" s="274"/>
      <c r="I262" s="273" t="str">
        <f>IF(OR(D258=AB258,D259=AB258),AB258&amp;"   +","")</f>
        <v/>
      </c>
      <c r="J262" s="274"/>
      <c r="K262" s="275" t="str">
        <f>IF(OR(D258=AB259,D259=AB259),AB259,"")</f>
        <v/>
      </c>
      <c r="M262" s="11"/>
      <c r="Y262" s="11"/>
      <c r="AA262" s="437">
        <v>3</v>
      </c>
      <c r="AB262" s="437"/>
      <c r="AC262" s="437">
        <v>2</v>
      </c>
      <c r="AD262" s="437"/>
      <c r="AE262" s="437"/>
      <c r="AF262" s="437">
        <v>1</v>
      </c>
      <c r="AG262" s="437"/>
      <c r="AH262" s="437">
        <v>3</v>
      </c>
      <c r="AI262" s="437"/>
      <c r="AJ262" s="437"/>
      <c r="AK262" s="437"/>
    </row>
    <row r="263" spans="2:37" ht="18.75" x14ac:dyDescent="0.3">
      <c r="B263" s="265" t="s">
        <v>283</v>
      </c>
      <c r="C263" s="278"/>
      <c r="D263" s="279" t="str">
        <f>C250</f>
        <v>kobber(II)sulfat</v>
      </c>
      <c r="E263" s="278"/>
      <c r="F263" s="279" t="str">
        <f>H250</f>
        <v>ammoniumphosphat</v>
      </c>
      <c r="G263" s="279"/>
      <c r="H263" s="278"/>
      <c r="I263" s="279" t="str">
        <f>IF(OR(F258=AD258,F259=AD258),AD258,"")</f>
        <v/>
      </c>
      <c r="J263" s="278"/>
      <c r="K263" s="279" t="str">
        <f>IF(OR(F258=AD259,F259=AD259),AD259,"")</f>
        <v/>
      </c>
      <c r="M263" s="11"/>
      <c r="Y263" s="11"/>
      <c r="AA263" s="437"/>
      <c r="AB263" s="437"/>
      <c r="AC263" s="437"/>
      <c r="AD263" s="437"/>
      <c r="AE263" s="437"/>
      <c r="AF263" s="437"/>
      <c r="AG263" s="437"/>
      <c r="AH263" s="437"/>
      <c r="AI263" s="437"/>
      <c r="AJ263" s="437"/>
      <c r="AK263" s="437"/>
    </row>
    <row r="264" spans="2:37" ht="18.75" x14ac:dyDescent="0.3">
      <c r="B264" s="280" t="s">
        <v>123</v>
      </c>
      <c r="C264" s="265" t="str">
        <f>IF(C262=AA262,"R",IF(C262="","","F"))</f>
        <v/>
      </c>
      <c r="D264" s="280"/>
      <c r="E264" s="265" t="str">
        <f>IF(E262=AC262,"R",IF(E262="","","F"))</f>
        <v/>
      </c>
      <c r="F264" s="265"/>
      <c r="G264" s="265"/>
      <c r="H264" s="265" t="str">
        <f>IF(H262=AF262,"R",IF(H262="","","F"))</f>
        <v/>
      </c>
      <c r="I264" s="265"/>
      <c r="J264" s="265" t="str">
        <f>IF(J262=AH262,"R",IF(J262="","","F"))</f>
        <v/>
      </c>
      <c r="K264" s="263"/>
      <c r="M264" s="11"/>
      <c r="Y264" s="11"/>
      <c r="AA264" s="437"/>
      <c r="AB264" s="437"/>
      <c r="AC264" s="437"/>
      <c r="AD264" s="437"/>
      <c r="AE264" s="437"/>
      <c r="AF264" s="437"/>
      <c r="AG264" s="437"/>
      <c r="AH264" s="437"/>
      <c r="AI264" s="437"/>
      <c r="AJ264" s="437"/>
      <c r="AK264" s="437"/>
    </row>
    <row r="265" spans="2:37" x14ac:dyDescent="0.25">
      <c r="B265" s="88"/>
      <c r="C265" s="96"/>
      <c r="D265" s="96"/>
      <c r="E265" s="96"/>
      <c r="F265" s="96"/>
      <c r="G265" s="96"/>
      <c r="H265" s="96"/>
      <c r="I265" s="96"/>
      <c r="J265" s="96"/>
      <c r="K265" s="86"/>
      <c r="M265" s="11"/>
      <c r="Y265" s="11"/>
      <c r="AA265" s="437"/>
      <c r="AB265" s="437"/>
      <c r="AC265" s="437"/>
      <c r="AD265" s="437"/>
      <c r="AE265" s="437"/>
      <c r="AF265" s="437"/>
      <c r="AG265" s="437"/>
      <c r="AH265" s="437"/>
      <c r="AI265" s="437"/>
      <c r="AJ265" s="437"/>
      <c r="AK265" s="437"/>
    </row>
    <row r="266" spans="2:37" x14ac:dyDescent="0.25">
      <c r="B266" s="87" t="str">
        <f>IF(AND(C264="R",E264="R",H264="R",J264="R"),"Flot det endelige reaktionsskema er nemlig:                3CuSO₄ (aq) + 2(NH₄)₃PO₄ (aq) ⟶ Cu₃(PO₄)₂ (s) + 3(NH₄)₂SO₄ (aq)                      Bemærk at kobber(II)phosphat vil udfældes","")</f>
        <v/>
      </c>
      <c r="C266" s="96"/>
      <c r="D266" s="96"/>
      <c r="E266" s="96"/>
      <c r="F266" s="96"/>
      <c r="G266" s="96"/>
      <c r="H266" s="96"/>
      <c r="I266" s="96"/>
      <c r="J266" s="96"/>
      <c r="K266" s="86"/>
      <c r="M266" s="11"/>
      <c r="Y266" s="11"/>
      <c r="AA266" s="437"/>
      <c r="AB266" s="437"/>
      <c r="AC266" s="437"/>
      <c r="AD266" s="437"/>
      <c r="AE266" s="437"/>
      <c r="AF266" s="437"/>
      <c r="AG266" s="437"/>
      <c r="AH266" s="437"/>
      <c r="AI266" s="437"/>
      <c r="AJ266" s="437"/>
      <c r="AK266" s="437"/>
    </row>
    <row r="267" spans="2:37" x14ac:dyDescent="0.25">
      <c r="B267" s="79"/>
      <c r="C267" s="92"/>
      <c r="D267" s="92"/>
      <c r="E267" s="92"/>
      <c r="F267" s="92"/>
      <c r="G267" s="92"/>
      <c r="H267" s="92"/>
      <c r="I267" s="92"/>
      <c r="J267" s="92"/>
      <c r="K267" s="80"/>
      <c r="M267" s="11"/>
      <c r="Y267" s="11"/>
      <c r="AA267" s="437"/>
      <c r="AB267" s="437"/>
      <c r="AC267" s="437"/>
      <c r="AD267" s="437"/>
      <c r="AE267" s="437"/>
      <c r="AF267" s="437"/>
      <c r="AG267" s="437"/>
      <c r="AH267" s="437"/>
      <c r="AI267" s="437"/>
      <c r="AJ267" s="437"/>
      <c r="AK267" s="437"/>
    </row>
    <row r="268" spans="2:37" x14ac:dyDescent="0.25">
      <c r="B268" s="79"/>
      <c r="C268" s="92"/>
      <c r="D268" s="92"/>
      <c r="E268" s="92"/>
      <c r="F268" s="92"/>
      <c r="G268" s="92"/>
      <c r="H268" s="92"/>
      <c r="I268" s="92"/>
      <c r="J268" s="92"/>
      <c r="K268" s="80"/>
      <c r="M268" s="11"/>
      <c r="Y268" s="11"/>
      <c r="AA268" s="437"/>
      <c r="AB268" s="437"/>
      <c r="AC268" s="437"/>
      <c r="AD268" s="437"/>
      <c r="AE268" s="437"/>
      <c r="AF268" s="437"/>
      <c r="AG268" s="437"/>
      <c r="AH268" s="437"/>
      <c r="AI268" s="437"/>
      <c r="AJ268" s="437"/>
      <c r="AK268" s="437"/>
    </row>
    <row r="269" spans="2:37" ht="28.5" x14ac:dyDescent="0.45">
      <c r="B269" s="89" t="s">
        <v>336</v>
      </c>
      <c r="C269" s="90"/>
      <c r="D269" s="90"/>
      <c r="E269" s="90"/>
      <c r="F269" s="90"/>
      <c r="G269" s="90"/>
      <c r="H269" s="90"/>
      <c r="I269" s="90"/>
      <c r="J269" s="90"/>
      <c r="K269" s="85"/>
      <c r="M269" s="11"/>
      <c r="Y269" s="11"/>
      <c r="AA269" s="437"/>
      <c r="AB269" s="437"/>
      <c r="AC269" s="437"/>
      <c r="AD269" s="437"/>
      <c r="AE269" s="437"/>
      <c r="AF269" s="437"/>
      <c r="AG269" s="437"/>
      <c r="AH269" s="437"/>
      <c r="AI269" s="437"/>
      <c r="AJ269" s="437"/>
      <c r="AK269" s="437"/>
    </row>
    <row r="270" spans="2:37" x14ac:dyDescent="0.25">
      <c r="B270" s="78" t="s">
        <v>482</v>
      </c>
      <c r="C270" s="92"/>
      <c r="D270" s="92"/>
      <c r="E270" s="92"/>
      <c r="F270" s="92"/>
      <c r="G270" s="92"/>
      <c r="H270" s="92"/>
      <c r="I270" s="92"/>
      <c r="J270" s="92"/>
      <c r="K270" s="80"/>
      <c r="M270" s="11"/>
      <c r="Y270" s="11"/>
      <c r="AA270" s="437"/>
      <c r="AB270" s="437"/>
      <c r="AC270" s="437"/>
      <c r="AD270" s="437"/>
      <c r="AE270" s="437"/>
      <c r="AF270" s="437"/>
      <c r="AG270" s="437"/>
      <c r="AH270" s="437"/>
      <c r="AI270" s="437"/>
      <c r="AJ270" s="437"/>
      <c r="AK270" s="437"/>
    </row>
    <row r="271" spans="2:37" x14ac:dyDescent="0.25">
      <c r="B271" s="78"/>
      <c r="C271" s="92"/>
      <c r="D271" s="92"/>
      <c r="E271" s="92"/>
      <c r="F271" s="92"/>
      <c r="G271" s="92"/>
      <c r="H271" s="92"/>
      <c r="I271" s="92"/>
      <c r="J271" s="92"/>
      <c r="K271" s="80"/>
      <c r="M271" s="11"/>
      <c r="Y271" s="11"/>
      <c r="AA271" s="437"/>
      <c r="AB271" s="437"/>
      <c r="AC271" s="437"/>
      <c r="AD271" s="437"/>
      <c r="AE271" s="437"/>
      <c r="AF271" s="437"/>
      <c r="AG271" s="437"/>
      <c r="AH271" s="437"/>
      <c r="AI271" s="437"/>
      <c r="AJ271" s="437"/>
      <c r="AK271" s="437"/>
    </row>
    <row r="272" spans="2:37" ht="18.75" x14ac:dyDescent="0.3">
      <c r="B272" s="263" t="s">
        <v>225</v>
      </c>
      <c r="C272" s="264" t="s">
        <v>404</v>
      </c>
      <c r="D272" s="264" t="s">
        <v>263</v>
      </c>
      <c r="E272" s="264" t="s">
        <v>123</v>
      </c>
      <c r="F272" s="92"/>
      <c r="G272" s="265" t="s">
        <v>225</v>
      </c>
      <c r="H272" s="264" t="s">
        <v>405</v>
      </c>
      <c r="I272" s="264" t="s">
        <v>263</v>
      </c>
      <c r="J272" s="264" t="s">
        <v>123</v>
      </c>
      <c r="K272" s="80"/>
      <c r="M272" s="11"/>
      <c r="Y272" s="11"/>
      <c r="AA272" s="437"/>
      <c r="AB272" s="437"/>
      <c r="AC272" s="437"/>
      <c r="AD272" s="437"/>
      <c r="AE272" s="437"/>
      <c r="AF272" s="437"/>
      <c r="AG272" s="437"/>
      <c r="AH272" s="437"/>
      <c r="AI272" s="437"/>
      <c r="AJ272" s="437"/>
      <c r="AK272" s="437"/>
    </row>
    <row r="273" spans="2:37" ht="18.75" x14ac:dyDescent="0.3">
      <c r="B273" s="266" t="s">
        <v>281</v>
      </c>
      <c r="C273" s="12"/>
      <c r="D273" s="264" t="str">
        <f>IF(E273="R",AB273,"")</f>
        <v/>
      </c>
      <c r="E273" s="265" t="str">
        <f>IF(OR(TRIM(C273)=AA273,TRIM(C273)=AB273),"R",IF(C273="","","F"))</f>
        <v/>
      </c>
      <c r="F273" s="92"/>
      <c r="G273" s="264" t="s">
        <v>258</v>
      </c>
      <c r="H273" s="12"/>
      <c r="I273" s="264" t="str">
        <f>IF(J273="R",AH273,"")</f>
        <v/>
      </c>
      <c r="J273" s="265" t="str">
        <f>IF(OR(TRIM(H273)=AG273,TRIM(H273)=AH273),"R",IF(H273="","","F"))</f>
        <v/>
      </c>
      <c r="K273" s="80"/>
      <c r="M273" s="11"/>
      <c r="Y273" s="11"/>
      <c r="AA273" s="437" t="s">
        <v>295</v>
      </c>
      <c r="AB273" s="437" t="s">
        <v>301</v>
      </c>
      <c r="AC273" s="437"/>
      <c r="AD273" s="437"/>
      <c r="AE273" s="437"/>
      <c r="AF273" s="437"/>
      <c r="AG273" s="437" t="s">
        <v>369</v>
      </c>
      <c r="AH273" s="437" t="s">
        <v>150</v>
      </c>
      <c r="AI273" s="437"/>
      <c r="AJ273" s="437"/>
      <c r="AK273" s="437"/>
    </row>
    <row r="274" spans="2:37" ht="18.75" x14ac:dyDescent="0.3">
      <c r="B274" s="266" t="s">
        <v>282</v>
      </c>
      <c r="C274" s="12"/>
      <c r="D274" s="264" t="str">
        <f>IF(E274="R",AB274,"")</f>
        <v/>
      </c>
      <c r="E274" s="265" t="str">
        <f>IF(OR(TRIM(C274)=AA274,TRIM(C274)=AB274),"R",IF(C274="","","F"))</f>
        <v/>
      </c>
      <c r="F274" s="92"/>
      <c r="G274" s="264" t="s">
        <v>259</v>
      </c>
      <c r="H274" s="12"/>
      <c r="I274" s="264" t="str">
        <f>IF(J274="R",AH274,"")</f>
        <v/>
      </c>
      <c r="J274" s="265" t="str">
        <f>IF(OR(TRIM(H274)=AG274,TRIM(H274)=AH274),"R",IF(H274="","","F"))</f>
        <v/>
      </c>
      <c r="K274" s="80"/>
      <c r="M274" s="11"/>
      <c r="Y274" s="11"/>
      <c r="AA274" s="437" t="s">
        <v>318</v>
      </c>
      <c r="AB274" s="437" t="s">
        <v>156</v>
      </c>
      <c r="AC274" s="437"/>
      <c r="AD274" s="437"/>
      <c r="AE274" s="437"/>
      <c r="AF274" s="437"/>
      <c r="AG274" s="437" t="s">
        <v>325</v>
      </c>
      <c r="AH274" s="437" t="s">
        <v>436</v>
      </c>
      <c r="AI274" s="437"/>
      <c r="AJ274" s="437"/>
      <c r="AK274" s="437"/>
    </row>
    <row r="275" spans="2:37" ht="18.75" x14ac:dyDescent="0.3">
      <c r="B275" s="266" t="s">
        <v>265</v>
      </c>
      <c r="C275" s="12"/>
      <c r="D275" s="264" t="str">
        <f>IF(E275="R",AB275,"")</f>
        <v/>
      </c>
      <c r="E275" s="265" t="str">
        <f>IF(OR(TRIM(C275)=AA275,TRIM(C275)=AB275),"R",IF(C275="","","F"))</f>
        <v/>
      </c>
      <c r="F275" s="92"/>
      <c r="G275" s="264" t="s">
        <v>264</v>
      </c>
      <c r="H275" s="12"/>
      <c r="I275" s="264" t="str">
        <f>IF(J275="R",AH275,"")</f>
        <v/>
      </c>
      <c r="J275" s="265" t="str">
        <f>IF(OR(TRIM(H275)=AG275,TRIM(H275)=AH275),"R",IF(H275="","","F"))</f>
        <v/>
      </c>
      <c r="K275" s="80"/>
      <c r="M275" s="11"/>
      <c r="Y275" s="11"/>
      <c r="AA275" s="437" t="s">
        <v>406</v>
      </c>
      <c r="AB275" s="437" t="s">
        <v>460</v>
      </c>
      <c r="AC275" s="437"/>
      <c r="AD275" s="437"/>
      <c r="AE275" s="437"/>
      <c r="AF275" s="437"/>
      <c r="AG275" s="437" t="s">
        <v>407</v>
      </c>
      <c r="AH275" s="437" t="s">
        <v>461</v>
      </c>
      <c r="AI275" s="437"/>
      <c r="AJ275" s="437"/>
      <c r="AK275" s="437"/>
    </row>
    <row r="276" spans="2:37" x14ac:dyDescent="0.25">
      <c r="B276" s="78"/>
      <c r="C276" s="92"/>
      <c r="D276" s="92"/>
      <c r="E276" s="92"/>
      <c r="F276" s="92"/>
      <c r="G276" s="92"/>
      <c r="H276" s="92" t="str">
        <f>IF(H275="nh42co3","du skal skrive paranteser rundt om sammensatte ioner, når der er flere end en", "")</f>
        <v/>
      </c>
      <c r="I276" s="92"/>
      <c r="J276" s="92"/>
      <c r="K276" s="80"/>
      <c r="M276" s="11"/>
      <c r="Y276" s="11"/>
      <c r="AA276" s="437"/>
      <c r="AB276" s="437"/>
      <c r="AC276" s="437"/>
      <c r="AD276" s="437"/>
      <c r="AE276" s="437"/>
      <c r="AF276" s="437"/>
      <c r="AG276" s="437"/>
      <c r="AH276" s="437"/>
      <c r="AI276" s="437"/>
      <c r="AJ276" s="437"/>
      <c r="AK276" s="437"/>
    </row>
    <row r="277" spans="2:37" x14ac:dyDescent="0.25">
      <c r="B277" s="78"/>
      <c r="C277" s="92"/>
      <c r="D277" s="92"/>
      <c r="E277" s="92"/>
      <c r="F277" s="92"/>
      <c r="G277" s="92"/>
      <c r="H277" s="92"/>
      <c r="I277" s="92"/>
      <c r="J277" s="92"/>
      <c r="K277" s="80"/>
      <c r="M277" s="11"/>
      <c r="Y277" s="11"/>
      <c r="AA277" s="437"/>
      <c r="AB277" s="437"/>
      <c r="AC277" s="437"/>
      <c r="AD277" s="437"/>
      <c r="AE277" s="437"/>
      <c r="AF277" s="437"/>
      <c r="AG277" s="437"/>
      <c r="AH277" s="437"/>
      <c r="AI277" s="437"/>
      <c r="AJ277" s="437"/>
      <c r="AK277" s="437"/>
    </row>
    <row r="278" spans="2:37" x14ac:dyDescent="0.25">
      <c r="B278" s="78" t="str" cm="1">
        <f t="array" ref="B278">IF(AND(E280:E281="R",G280:G281="R"),"",IF(AND(E273:E275="R",J273:J275="R"),"Flot! - Sammensæt opløsningens ioner, således du danner 2 nye neutrale ionforbindelser","Udfyld ovenstående lyseblå felter, inden du går videre"))</f>
        <v>Udfyld ovenstående lyseblå felter, inden du går videre</v>
      </c>
      <c r="C278" s="92"/>
      <c r="D278" s="92"/>
      <c r="E278" s="92"/>
      <c r="F278" s="92"/>
      <c r="G278" s="92"/>
      <c r="H278" s="92"/>
      <c r="I278" s="92"/>
      <c r="J278" s="92"/>
      <c r="K278" s="80"/>
      <c r="M278" s="11"/>
      <c r="Y278" s="11"/>
      <c r="AA278" s="437"/>
      <c r="AB278" s="437"/>
      <c r="AC278" s="437"/>
      <c r="AD278" s="437"/>
      <c r="AE278" s="437"/>
      <c r="AF278" s="437"/>
      <c r="AG278" s="437"/>
      <c r="AH278" s="437"/>
      <c r="AI278" s="437"/>
      <c r="AJ278" s="437"/>
      <c r="AK278" s="437"/>
    </row>
    <row r="279" spans="2:37" ht="18.75" x14ac:dyDescent="0.3">
      <c r="B279" s="263" t="s">
        <v>1027</v>
      </c>
      <c r="C279" s="264" t="str" cm="1">
        <f t="array" ref="C279">IF(AND(E273:E275="R",J273:J275="R"),"Kemisk formel","")</f>
        <v/>
      </c>
      <c r="D279" s="264" t="str" cm="1">
        <f t="array" ref="D279">IF(AND(E273:E275="R",J273:J275="R"),"Opskrevet korrekt","")</f>
        <v/>
      </c>
      <c r="E279" s="264" t="str" cm="1">
        <f t="array" ref="E279">IF(AND(E273:E275="R",J273:J275="R"),"Tjek","")</f>
        <v/>
      </c>
      <c r="F279" s="264" t="str" cm="1">
        <f t="array" ref="F279">IF(AND(E273:E275="R",J273:J275="R"),"Navne på de nye ionforbindelser","")</f>
        <v/>
      </c>
      <c r="G279" s="264" t="str" cm="1">
        <f t="array" ref="G279">IF(AND(E273:E275="R",J273:J275="R"),"Tjek:","")</f>
        <v/>
      </c>
      <c r="H279" s="92"/>
      <c r="I279" s="92"/>
      <c r="J279" s="92"/>
      <c r="K279" s="80"/>
      <c r="M279" s="11"/>
      <c r="Y279" s="11"/>
      <c r="AA279" s="437"/>
      <c r="AB279" s="437"/>
      <c r="AC279" s="437"/>
      <c r="AD279" s="437"/>
      <c r="AE279" s="437"/>
      <c r="AF279" s="437"/>
      <c r="AG279" s="437"/>
      <c r="AH279" s="437"/>
      <c r="AI279" s="437"/>
      <c r="AJ279" s="437"/>
      <c r="AK279" s="437"/>
    </row>
    <row r="280" spans="2:37" ht="18.75" x14ac:dyDescent="0.3">
      <c r="B280" s="268" t="s">
        <v>279</v>
      </c>
      <c r="C280" s="269"/>
      <c r="D280" s="270" t="str">
        <f>IF(OR(C280=AA281,AB281=C280),AB281,IF(OR(C280=AA280,C280=AB280),AB280,""))</f>
        <v/>
      </c>
      <c r="E280" s="271" t="str">
        <f>IF(OR(TRIM(C280)=AA280,TRIM(C280)=AB280,TRIM(C280)=AA281,TRIM(C280)=AB281),"R",IF(D280="","","F"))</f>
        <v/>
      </c>
      <c r="F280" s="269"/>
      <c r="G280" s="271" t="str">
        <f>IF(OR(F280=AD280,F280=AD281),"R",IF(F280="","","F"))</f>
        <v/>
      </c>
      <c r="H280" s="92"/>
      <c r="I280" s="92"/>
      <c r="J280" s="92"/>
      <c r="K280" s="80"/>
      <c r="M280" s="11"/>
      <c r="Y280" s="11"/>
      <c r="AA280" s="437" t="s">
        <v>326</v>
      </c>
      <c r="AB280" s="437" t="s">
        <v>462</v>
      </c>
      <c r="AC280" s="437"/>
      <c r="AD280" s="437" t="s">
        <v>349</v>
      </c>
      <c r="AE280" s="437"/>
      <c r="AF280" s="437"/>
      <c r="AG280" s="437"/>
      <c r="AH280" s="437"/>
      <c r="AI280" s="437"/>
      <c r="AJ280" s="437"/>
      <c r="AK280" s="437"/>
    </row>
    <row r="281" spans="2:37" ht="18.75" x14ac:dyDescent="0.3">
      <c r="B281" s="266" t="s">
        <v>280</v>
      </c>
      <c r="C281" s="267"/>
      <c r="D281" s="264" t="str">
        <f>IF(OR(C281=AA281,AB281=C281),AB281,IF(OR(C281=AA280,C281=AB280),AB280,""))</f>
        <v/>
      </c>
      <c r="E281" s="271" t="str">
        <f>IF(AND(D281&lt;&gt;"",D280=D281),"F",IF(OR(TRIM(C281)=AA280,TRIM(C281)=AB280,TRIM(C281)=AA281,TRIM(C281)=AB281),"R",IF(D281="","","F")))</f>
        <v/>
      </c>
      <c r="F281" s="267"/>
      <c r="G281" s="265" t="str">
        <f>IF(OR(F281=AD281,F281=AD280),"R",IF(F281="","","F"))</f>
        <v/>
      </c>
      <c r="H281" s="92"/>
      <c r="I281" s="92"/>
      <c r="J281" s="92"/>
      <c r="K281" s="80"/>
      <c r="M281" s="11"/>
      <c r="Y281" s="11"/>
      <c r="AA281" s="437" t="s">
        <v>408</v>
      </c>
      <c r="AB281" s="437" t="s">
        <v>463</v>
      </c>
      <c r="AC281" s="437"/>
      <c r="AD281" s="437" t="s">
        <v>409</v>
      </c>
      <c r="AE281" s="437"/>
      <c r="AF281" s="437"/>
      <c r="AG281" s="437"/>
      <c r="AH281" s="437"/>
      <c r="AI281" s="437"/>
      <c r="AJ281" s="437"/>
      <c r="AK281" s="437"/>
    </row>
    <row r="282" spans="2:37" x14ac:dyDescent="0.25">
      <c r="B282" s="78"/>
      <c r="C282" s="92"/>
      <c r="D282" s="92"/>
      <c r="E282" s="92" t="str">
        <f>IF(AND(OR(E280="R",E281="R"),D280=D281), "hov du skal lave 2 forskellige ionforbindelser - du må ikke bare skrive den samme 2 gange","")</f>
        <v/>
      </c>
      <c r="F282" s="92"/>
      <c r="G282" s="92"/>
      <c r="H282" s="92"/>
      <c r="I282" s="92"/>
      <c r="J282" s="92"/>
      <c r="K282" s="80"/>
      <c r="M282" s="11"/>
      <c r="Y282" s="11"/>
      <c r="AA282" s="437"/>
      <c r="AB282" s="437"/>
      <c r="AC282" s="437"/>
      <c r="AD282" s="437"/>
      <c r="AE282" s="437"/>
      <c r="AF282" s="437"/>
      <c r="AG282" s="437"/>
      <c r="AH282" s="437"/>
      <c r="AI282" s="437"/>
      <c r="AJ282" s="437"/>
      <c r="AK282" s="437"/>
    </row>
    <row r="283" spans="2:37" x14ac:dyDescent="0.25">
      <c r="B283" s="78" t="str" cm="1">
        <f t="array" ref="B283">IF(AND(E280:E281="R"),"Sejt! - Nu er du klar til af afstemme reaktionsskemaet med koefficienter - hvis der ikke skal være nogen koefficient, skal du skrive 1","Udfyld ovenstående lyseblå felter, inden du går videre")</f>
        <v>Udfyld ovenstående lyseblå felter, inden du går videre</v>
      </c>
      <c r="C283" s="92"/>
      <c r="D283" s="92"/>
      <c r="E283" s="92"/>
      <c r="F283" s="92"/>
      <c r="G283" s="92"/>
      <c r="H283" s="92"/>
      <c r="I283" s="92"/>
      <c r="J283" s="92"/>
      <c r="K283" s="18"/>
      <c r="M283" s="11"/>
      <c r="Y283" s="11"/>
      <c r="AA283" s="437"/>
      <c r="AB283" s="437"/>
      <c r="AC283" s="437"/>
      <c r="AD283" s="437"/>
      <c r="AE283" s="437"/>
      <c r="AF283" s="437"/>
      <c r="AG283" s="437"/>
      <c r="AH283" s="437"/>
      <c r="AI283" s="437"/>
      <c r="AJ283" s="437"/>
      <c r="AK283" s="437"/>
    </row>
    <row r="284" spans="2:37" ht="18.75" x14ac:dyDescent="0.3">
      <c r="B284" s="265" t="s">
        <v>734</v>
      </c>
      <c r="C284" s="272"/>
      <c r="D284" s="273" t="str">
        <f>IF(E275="R",D275&amp;"   +","")</f>
        <v/>
      </c>
      <c r="E284" s="274"/>
      <c r="F284" s="273" t="str">
        <f>IF(J275="R",I275,"")</f>
        <v/>
      </c>
      <c r="G284" s="273" t="s">
        <v>48</v>
      </c>
      <c r="H284" s="274"/>
      <c r="I284" s="273" t="str">
        <f>IF(OR(D280=AB280,D281=AB280),AB280&amp;"   +","")</f>
        <v/>
      </c>
      <c r="J284" s="274"/>
      <c r="K284" s="275" t="str">
        <f>IF(OR(D280=AB281,D281=AB281),AB281,"")</f>
        <v/>
      </c>
      <c r="M284" s="11"/>
      <c r="Y284" s="11"/>
      <c r="AA284" s="437">
        <v>1</v>
      </c>
      <c r="AB284" s="437"/>
      <c r="AC284" s="437">
        <v>1</v>
      </c>
      <c r="AD284" s="437"/>
      <c r="AE284" s="437"/>
      <c r="AF284" s="437">
        <v>1</v>
      </c>
      <c r="AG284" s="437"/>
      <c r="AH284" s="437">
        <v>1</v>
      </c>
      <c r="AI284" s="437"/>
      <c r="AJ284" s="437"/>
      <c r="AK284" s="437"/>
    </row>
    <row r="285" spans="2:37" ht="18.75" x14ac:dyDescent="0.3">
      <c r="B285" s="265" t="s">
        <v>283</v>
      </c>
      <c r="C285" s="278"/>
      <c r="D285" s="279" t="str">
        <f>C272</f>
        <v>bariumhydroxid</v>
      </c>
      <c r="E285" s="278"/>
      <c r="F285" s="279" t="str">
        <f>H272</f>
        <v>kobber(II)chlorid</v>
      </c>
      <c r="G285" s="279"/>
      <c r="H285" s="278"/>
      <c r="I285" s="279" t="str">
        <f>IF(OR(F280=AD280,F281=AD280),AD280,"")</f>
        <v/>
      </c>
      <c r="J285" s="278"/>
      <c r="K285" s="279" t="str">
        <f>IF(OR(F280=AD281,F281=AD281),AD281,"")</f>
        <v/>
      </c>
      <c r="M285" s="11"/>
      <c r="Y285" s="11"/>
      <c r="AA285" s="437"/>
      <c r="AB285" s="437"/>
      <c r="AC285" s="437"/>
      <c r="AD285" s="437"/>
      <c r="AE285" s="437"/>
      <c r="AF285" s="437"/>
      <c r="AG285" s="437"/>
      <c r="AH285" s="437"/>
      <c r="AI285" s="437"/>
      <c r="AJ285" s="437"/>
      <c r="AK285" s="437"/>
    </row>
    <row r="286" spans="2:37" ht="18.75" x14ac:dyDescent="0.3">
      <c r="B286" s="280" t="s">
        <v>123</v>
      </c>
      <c r="C286" s="265" t="str">
        <f>IF(C284=AA284,"R",IF(C284="","","F"))</f>
        <v/>
      </c>
      <c r="D286" s="280"/>
      <c r="E286" s="265" t="str">
        <f>IF(E284=AC284,"R",IF(E284="","","F"))</f>
        <v/>
      </c>
      <c r="F286" s="265"/>
      <c r="G286" s="265"/>
      <c r="H286" s="265" t="str">
        <f>IF(H284=AF284,"R",IF(H284="","","F"))</f>
        <v/>
      </c>
      <c r="I286" s="265"/>
      <c r="J286" s="265" t="str">
        <f>IF(J284=AH284,"R",IF(J284="","","F"))</f>
        <v/>
      </c>
      <c r="K286" s="263"/>
      <c r="M286" s="11"/>
      <c r="Y286" s="11"/>
      <c r="AA286" s="437"/>
      <c r="AB286" s="437"/>
      <c r="AC286" s="437"/>
      <c r="AD286" s="437"/>
      <c r="AE286" s="437"/>
      <c r="AF286" s="437"/>
      <c r="AG286" s="437"/>
      <c r="AH286" s="437"/>
      <c r="AI286" s="437"/>
      <c r="AJ286" s="437"/>
      <c r="AK286" s="437"/>
    </row>
    <row r="287" spans="2:37" x14ac:dyDescent="0.25">
      <c r="B287" s="88"/>
      <c r="C287" s="96"/>
      <c r="D287" s="96"/>
      <c r="E287" s="96"/>
      <c r="F287" s="96"/>
      <c r="G287" s="96"/>
      <c r="H287" s="96"/>
      <c r="I287" s="96"/>
      <c r="J287" s="96"/>
      <c r="K287" s="86"/>
      <c r="M287" s="11"/>
      <c r="Y287" s="11"/>
      <c r="AA287" s="437"/>
      <c r="AB287" s="437"/>
      <c r="AC287" s="437"/>
      <c r="AD287" s="437"/>
      <c r="AE287" s="437"/>
      <c r="AF287" s="437"/>
      <c r="AG287" s="437"/>
      <c r="AH287" s="437"/>
      <c r="AI287" s="437"/>
      <c r="AJ287" s="437"/>
      <c r="AK287" s="437"/>
    </row>
    <row r="288" spans="2:37" x14ac:dyDescent="0.25">
      <c r="B288" s="87" t="str">
        <f>IF(AND(C286="R",E286="R",H286="R",J286="R"),"Flot det endelige reaktionsskema er nemlig:                Ba(OH)₂ (aq) + CuCl₂ (aq) ⟶ BaCl₂ (aq) + Cu(OH)₂ (s)                      Bemærk at kobber(II)hydroxid vil udfældes","")</f>
        <v/>
      </c>
      <c r="C288" s="96"/>
      <c r="D288" s="96"/>
      <c r="E288" s="96"/>
      <c r="F288" s="96"/>
      <c r="G288" s="96"/>
      <c r="H288" s="96"/>
      <c r="I288" s="96"/>
      <c r="J288" s="96"/>
      <c r="K288" s="86"/>
      <c r="M288" s="11"/>
      <c r="Y288" s="11"/>
      <c r="AA288" s="437"/>
      <c r="AB288" s="437"/>
      <c r="AC288" s="437"/>
      <c r="AD288" s="437"/>
      <c r="AE288" s="437"/>
      <c r="AF288" s="437"/>
      <c r="AG288" s="437"/>
      <c r="AH288" s="437"/>
      <c r="AI288" s="437"/>
      <c r="AJ288" s="437"/>
      <c r="AK288" s="437"/>
    </row>
    <row r="289" spans="2:37" x14ac:dyDescent="0.25">
      <c r="C289" s="28"/>
      <c r="D289" s="28"/>
      <c r="E289" s="28"/>
      <c r="F289" s="28"/>
      <c r="G289" s="28"/>
      <c r="H289" s="28"/>
      <c r="I289" s="28"/>
      <c r="J289" s="28"/>
      <c r="M289" s="11"/>
      <c r="Y289" s="11"/>
      <c r="AA289" s="437"/>
      <c r="AB289" s="437"/>
      <c r="AC289" s="437"/>
      <c r="AD289" s="437"/>
      <c r="AE289" s="437"/>
      <c r="AF289" s="437"/>
      <c r="AG289" s="437"/>
      <c r="AH289" s="437"/>
      <c r="AI289" s="437"/>
      <c r="AJ289" s="437"/>
      <c r="AK289" s="437"/>
    </row>
    <row r="290" spans="2:37" x14ac:dyDescent="0.25">
      <c r="C290" s="28"/>
      <c r="D290" s="28"/>
      <c r="E290" s="28"/>
      <c r="F290" s="28"/>
      <c r="G290" s="28"/>
      <c r="H290" s="28"/>
      <c r="I290" s="28"/>
      <c r="J290" s="28"/>
      <c r="M290" s="11"/>
      <c r="Y290" s="11"/>
      <c r="AA290" s="437"/>
      <c r="AB290" s="437"/>
      <c r="AC290" s="437"/>
      <c r="AD290" s="437"/>
      <c r="AE290" s="437"/>
      <c r="AF290" s="437"/>
      <c r="AG290" s="437"/>
      <c r="AH290" s="437"/>
      <c r="AI290" s="437"/>
      <c r="AJ290" s="437"/>
      <c r="AK290" s="437"/>
    </row>
    <row r="291" spans="2:37" ht="28.5" x14ac:dyDescent="0.45">
      <c r="B291" s="89" t="s">
        <v>337</v>
      </c>
      <c r="C291" s="90"/>
      <c r="D291" s="90"/>
      <c r="E291" s="90"/>
      <c r="F291" s="90"/>
      <c r="G291" s="90"/>
      <c r="H291" s="90"/>
      <c r="I291" s="90"/>
      <c r="J291" s="90"/>
      <c r="K291" s="85"/>
      <c r="M291" s="11"/>
      <c r="Y291" s="11"/>
      <c r="AA291" s="437"/>
      <c r="AB291" s="437"/>
      <c r="AC291" s="437"/>
      <c r="AD291" s="437"/>
      <c r="AE291" s="437"/>
      <c r="AF291" s="437"/>
      <c r="AG291" s="437"/>
      <c r="AH291" s="437"/>
      <c r="AI291" s="437"/>
      <c r="AJ291" s="437"/>
      <c r="AK291" s="437"/>
    </row>
    <row r="292" spans="2:37" x14ac:dyDescent="0.25">
      <c r="B292" s="78" t="s">
        <v>483</v>
      </c>
      <c r="C292" s="92"/>
      <c r="D292" s="92"/>
      <c r="E292" s="92"/>
      <c r="F292" s="92"/>
      <c r="G292" s="92"/>
      <c r="H292" s="92"/>
      <c r="I292" s="92"/>
      <c r="J292" s="92"/>
      <c r="K292" s="80"/>
      <c r="M292" s="11"/>
      <c r="Y292" s="11"/>
      <c r="AA292" s="437"/>
      <c r="AB292" s="437"/>
      <c r="AC292" s="437"/>
      <c r="AD292" s="437"/>
      <c r="AE292" s="437"/>
      <c r="AF292" s="437"/>
      <c r="AG292" s="437"/>
      <c r="AH292" s="437"/>
      <c r="AI292" s="437"/>
      <c r="AJ292" s="437"/>
      <c r="AK292" s="437"/>
    </row>
    <row r="293" spans="2:37" x14ac:dyDescent="0.25">
      <c r="B293" s="78"/>
      <c r="C293" s="92"/>
      <c r="D293" s="92"/>
      <c r="E293" s="92"/>
      <c r="F293" s="92"/>
      <c r="G293" s="92"/>
      <c r="H293" s="92"/>
      <c r="I293" s="92"/>
      <c r="J293" s="92"/>
      <c r="K293" s="80"/>
      <c r="M293" s="11"/>
      <c r="Y293" s="11"/>
      <c r="AA293" s="437"/>
      <c r="AB293" s="437"/>
      <c r="AC293" s="437"/>
      <c r="AD293" s="437"/>
      <c r="AE293" s="437"/>
      <c r="AF293" s="437"/>
      <c r="AG293" s="437"/>
      <c r="AH293" s="437"/>
      <c r="AI293" s="437"/>
      <c r="AJ293" s="437"/>
      <c r="AK293" s="437"/>
    </row>
    <row r="294" spans="2:37" ht="18.75" x14ac:dyDescent="0.3">
      <c r="B294" s="263" t="s">
        <v>225</v>
      </c>
      <c r="C294" s="264" t="s">
        <v>410</v>
      </c>
      <c r="D294" s="264" t="s">
        <v>263</v>
      </c>
      <c r="E294" s="264" t="s">
        <v>123</v>
      </c>
      <c r="F294" s="92"/>
      <c r="G294" s="265" t="s">
        <v>225</v>
      </c>
      <c r="H294" s="264" t="s">
        <v>411</v>
      </c>
      <c r="I294" s="264" t="s">
        <v>263</v>
      </c>
      <c r="J294" s="264" t="s">
        <v>123</v>
      </c>
      <c r="K294" s="80"/>
      <c r="M294" s="11"/>
      <c r="Y294" s="11"/>
      <c r="AA294" s="437"/>
      <c r="AB294" s="437"/>
      <c r="AC294" s="437"/>
      <c r="AD294" s="437"/>
      <c r="AE294" s="437"/>
      <c r="AF294" s="437"/>
      <c r="AG294" s="437"/>
      <c r="AH294" s="437"/>
      <c r="AI294" s="437"/>
      <c r="AJ294" s="437"/>
      <c r="AK294" s="437"/>
    </row>
    <row r="295" spans="2:37" ht="18.75" x14ac:dyDescent="0.3">
      <c r="B295" s="266" t="s">
        <v>281</v>
      </c>
      <c r="C295" s="12"/>
      <c r="D295" s="264" t="str">
        <f>IF(E295="R",AB295,"")</f>
        <v/>
      </c>
      <c r="E295" s="265" t="str">
        <f>IF(OR(TRIM(C295)=AA295,TRIM(C295)=AB295),"R",IF(C295="","","F"))</f>
        <v/>
      </c>
      <c r="F295" s="92"/>
      <c r="G295" s="264" t="s">
        <v>258</v>
      </c>
      <c r="H295" s="12"/>
      <c r="I295" s="264" t="str">
        <f>IF(J295="R",AH295,"")</f>
        <v/>
      </c>
      <c r="J295" s="265" t="str">
        <f>IF(OR(TRIM(H295)=AG295,TRIM(H295)=AH295),"R",IF(H295="","","F"))</f>
        <v/>
      </c>
      <c r="K295" s="80"/>
      <c r="M295" s="11"/>
      <c r="Y295" s="11"/>
      <c r="AA295" s="437" t="s">
        <v>323</v>
      </c>
      <c r="AB295" s="437" t="s">
        <v>127</v>
      </c>
      <c r="AC295" s="437"/>
      <c r="AD295" s="437"/>
      <c r="AE295" s="437"/>
      <c r="AF295" s="437"/>
      <c r="AG295" s="437" t="s">
        <v>317</v>
      </c>
      <c r="AH295" s="437" t="s">
        <v>128</v>
      </c>
      <c r="AI295" s="437"/>
      <c r="AJ295" s="437"/>
      <c r="AK295" s="437"/>
    </row>
    <row r="296" spans="2:37" ht="18.75" x14ac:dyDescent="0.3">
      <c r="B296" s="266" t="s">
        <v>282</v>
      </c>
      <c r="C296" s="12"/>
      <c r="D296" s="264" t="str">
        <f>IF(E296="R",AB296,"")</f>
        <v/>
      </c>
      <c r="E296" s="265" t="str">
        <f>IF(OR(TRIM(C296)=AA296,TRIM(C296)=AB296),"R",IF(C296="","","F"))</f>
        <v/>
      </c>
      <c r="F296" s="92"/>
      <c r="G296" s="264" t="s">
        <v>259</v>
      </c>
      <c r="H296" s="12"/>
      <c r="I296" s="264" t="str">
        <f>IF(J296="R",AH296,"")</f>
        <v/>
      </c>
      <c r="J296" s="265" t="str">
        <f>IF(OR(TRIM(H296)=AG296,TRIM(H296)=AH296),"R",IF(H296="","","F"))</f>
        <v/>
      </c>
      <c r="K296" s="80"/>
      <c r="M296" s="11"/>
      <c r="Y296" s="11"/>
      <c r="AA296" s="437" t="s">
        <v>262</v>
      </c>
      <c r="AB296" s="437" t="s">
        <v>157</v>
      </c>
      <c r="AC296" s="437"/>
      <c r="AD296" s="437"/>
      <c r="AE296" s="437"/>
      <c r="AF296" s="437"/>
      <c r="AG296" s="437" t="s">
        <v>296</v>
      </c>
      <c r="AH296" s="437" t="s">
        <v>133</v>
      </c>
      <c r="AI296" s="437"/>
      <c r="AJ296" s="437"/>
      <c r="AK296" s="437"/>
    </row>
    <row r="297" spans="2:37" ht="18.75" x14ac:dyDescent="0.3">
      <c r="B297" s="266" t="s">
        <v>265</v>
      </c>
      <c r="C297" s="12"/>
      <c r="D297" s="264" t="str">
        <f>IF(E297="R",AB297,"")</f>
        <v/>
      </c>
      <c r="E297" s="265" t="str">
        <f>IF(OR(TRIM(C297)=AA297,TRIM(C297)=AB297),"R",IF(C297="","","F"))</f>
        <v/>
      </c>
      <c r="F297" s="92"/>
      <c r="G297" s="264" t="s">
        <v>264</v>
      </c>
      <c r="H297" s="29"/>
      <c r="I297" s="264" t="str">
        <f>IF(J297="R",AH297,"")</f>
        <v/>
      </c>
      <c r="J297" s="265" t="str">
        <f>IF(OR(TRIM(H297)=AG297,TRIM(H297)=AH297),"R",IF(H297="","","F"))</f>
        <v/>
      </c>
      <c r="K297" s="80"/>
      <c r="M297" s="11"/>
      <c r="Y297" s="11"/>
      <c r="AA297" s="437" t="s">
        <v>324</v>
      </c>
      <c r="AB297" s="437" t="s">
        <v>118</v>
      </c>
      <c r="AC297" s="437"/>
      <c r="AD297" s="437"/>
      <c r="AE297" s="437"/>
      <c r="AF297" s="437"/>
      <c r="AG297" s="438" t="s">
        <v>412</v>
      </c>
      <c r="AH297" s="441" t="s">
        <v>464</v>
      </c>
      <c r="AI297" s="437"/>
      <c r="AJ297" s="437"/>
      <c r="AK297" s="437"/>
    </row>
    <row r="298" spans="2:37" x14ac:dyDescent="0.25">
      <c r="B298" s="78"/>
      <c r="C298" s="92"/>
      <c r="D298" s="92"/>
      <c r="E298" s="92"/>
      <c r="F298" s="92"/>
      <c r="G298" s="92"/>
      <c r="H298" s="92" t="str">
        <f>IF(H297="nh42co3","du skal skrive paranteser rundt om sammensatte ioner, når der er flere end en", "")</f>
        <v/>
      </c>
      <c r="I298" s="92"/>
      <c r="J298" s="92"/>
      <c r="K298" s="80"/>
      <c r="M298" s="11"/>
      <c r="Y298" s="11"/>
      <c r="AA298" s="437"/>
      <c r="AB298" s="437"/>
      <c r="AC298" s="437"/>
      <c r="AD298" s="437"/>
      <c r="AE298" s="437"/>
      <c r="AF298" s="437"/>
      <c r="AG298" s="437"/>
      <c r="AH298" s="437"/>
      <c r="AI298" s="437"/>
      <c r="AJ298" s="437"/>
      <c r="AK298" s="437"/>
    </row>
    <row r="299" spans="2:37" x14ac:dyDescent="0.25">
      <c r="B299" s="78"/>
      <c r="C299" s="92"/>
      <c r="D299" s="92"/>
      <c r="E299" s="92"/>
      <c r="F299" s="92"/>
      <c r="G299" s="92"/>
      <c r="H299" s="92"/>
      <c r="I299" s="92"/>
      <c r="J299" s="92"/>
      <c r="K299" s="80"/>
      <c r="M299" s="11"/>
      <c r="Y299" s="11"/>
      <c r="AA299" s="437"/>
      <c r="AB299" s="437"/>
      <c r="AC299" s="437"/>
      <c r="AD299" s="437"/>
      <c r="AE299" s="437"/>
      <c r="AF299" s="437"/>
      <c r="AG299" s="437"/>
      <c r="AH299" s="437"/>
      <c r="AI299" s="437"/>
      <c r="AJ299" s="437"/>
      <c r="AK299" s="437"/>
    </row>
    <row r="300" spans="2:37" x14ac:dyDescent="0.25">
      <c r="B300" s="78" t="str" cm="1">
        <f t="array" ref="B300">IF(AND(E302:E303="R",G302:G303="R"),"",IF(AND(E295:E297="R",J295:J297="R"),"Flot! - Sammensæt opløsningens ioner, således du danner 2 nye neutrale ionforbindelser","Udfyld ovenstående lyseblå felter, inden du går videre"))</f>
        <v>Udfyld ovenstående lyseblå felter, inden du går videre</v>
      </c>
      <c r="C300" s="92"/>
      <c r="D300" s="92"/>
      <c r="E300" s="92"/>
      <c r="F300" s="92"/>
      <c r="G300" s="92"/>
      <c r="H300" s="92"/>
      <c r="I300" s="92"/>
      <c r="J300" s="92"/>
      <c r="K300" s="80"/>
      <c r="M300" s="11"/>
      <c r="Y300" s="11"/>
      <c r="AA300" s="437"/>
      <c r="AB300" s="437"/>
      <c r="AC300" s="437"/>
      <c r="AD300" s="437"/>
      <c r="AE300" s="437"/>
      <c r="AF300" s="437"/>
      <c r="AG300" s="437"/>
      <c r="AH300" s="437"/>
      <c r="AI300" s="437"/>
      <c r="AJ300" s="437"/>
      <c r="AK300" s="437"/>
    </row>
    <row r="301" spans="2:37" ht="18.75" x14ac:dyDescent="0.3">
      <c r="B301" s="263" t="s">
        <v>1027</v>
      </c>
      <c r="C301" s="264" t="str" cm="1">
        <f t="array" ref="C301">IF(AND(E295:E297="R",J295:J297="R"),"Kemisk formel","")</f>
        <v/>
      </c>
      <c r="D301" s="264" t="str" cm="1">
        <f t="array" ref="D301">IF(AND(E295:E297="R",J295:J297="R"),"Opskrevet korrekt","")</f>
        <v/>
      </c>
      <c r="E301" s="264" t="str" cm="1">
        <f t="array" ref="E301">IF(AND(E295:E297="R",J295:J297="R"),"Tjek","")</f>
        <v/>
      </c>
      <c r="F301" s="264" t="str" cm="1">
        <f t="array" ref="F301">IF(AND(E295:E297="R",J295:J297="R"),"Navne på de nye ionforbindelser","")</f>
        <v/>
      </c>
      <c r="G301" s="264" t="str" cm="1">
        <f t="array" ref="G301">IF(AND(E295:E297="R",J295:J297="R"),"Tjek:","")</f>
        <v/>
      </c>
      <c r="H301" s="92"/>
      <c r="I301" s="92"/>
      <c r="J301" s="92"/>
      <c r="K301" s="80"/>
      <c r="M301" s="11"/>
      <c r="Y301" s="11"/>
      <c r="AA301" s="437"/>
      <c r="AB301" s="437"/>
      <c r="AC301" s="437"/>
      <c r="AD301" s="437"/>
      <c r="AE301" s="437"/>
      <c r="AF301" s="437"/>
      <c r="AG301" s="437"/>
      <c r="AH301" s="437"/>
      <c r="AI301" s="437"/>
      <c r="AJ301" s="437"/>
      <c r="AK301" s="437"/>
    </row>
    <row r="302" spans="2:37" ht="18.75" x14ac:dyDescent="0.3">
      <c r="B302" s="268" t="s">
        <v>279</v>
      </c>
      <c r="C302" s="269"/>
      <c r="D302" s="270" t="str">
        <f>IF(OR(C302=AA303,AB303=C302),AB303,IF(OR(C302=AA302,C302=AB302),AB302,""))</f>
        <v/>
      </c>
      <c r="E302" s="271" t="str">
        <f>IF(OR(TRIM(C302)=AA302,TRIM(C302)=AB302,TRIM(C302)=AA303,TRIM(C302)=AB303),"R",IF(D302="","","F"))</f>
        <v/>
      </c>
      <c r="F302" s="269"/>
      <c r="G302" s="271" t="str">
        <f>IF(OR(F302=AD302,F302=AD303),"R",IF(F302="","","F"))</f>
        <v/>
      </c>
      <c r="H302" s="92"/>
      <c r="I302" s="92"/>
      <c r="J302" s="92"/>
      <c r="K302" s="80"/>
      <c r="M302" s="11"/>
      <c r="Y302" s="11"/>
      <c r="AA302" s="437" t="s">
        <v>383</v>
      </c>
      <c r="AB302" s="437" t="s">
        <v>451</v>
      </c>
      <c r="AC302" s="437"/>
      <c r="AD302" s="437" t="s">
        <v>413</v>
      </c>
      <c r="AE302" s="437"/>
      <c r="AF302" s="437"/>
      <c r="AG302" s="437"/>
      <c r="AH302" s="437"/>
      <c r="AI302" s="437"/>
      <c r="AJ302" s="437"/>
      <c r="AK302" s="437"/>
    </row>
    <row r="303" spans="2:37" ht="18.75" x14ac:dyDescent="0.3">
      <c r="B303" s="266" t="s">
        <v>280</v>
      </c>
      <c r="C303" s="267"/>
      <c r="D303" s="264" t="str">
        <f>IF(OR(C303=AA303,AB303=C303),AB303,IF(OR(C303=AA302,C303=AB302),AB302,""))</f>
        <v/>
      </c>
      <c r="E303" s="271" t="str">
        <f>IF(AND(D303&lt;&gt;"",D302=D303),"F",IF(OR(TRIM(C303)=AA302,TRIM(C303)=AB302,TRIM(C303)=AA303,TRIM(C303)=AB303),"R",IF(D303="","","F")))</f>
        <v/>
      </c>
      <c r="F303" s="267"/>
      <c r="G303" s="265" t="str">
        <f>IF(OR(F303=AD303,F303=AD302),"R",IF(F303="","","F"))</f>
        <v/>
      </c>
      <c r="H303" s="92"/>
      <c r="I303" s="92"/>
      <c r="J303" s="92"/>
      <c r="K303" s="80"/>
      <c r="M303" s="11"/>
      <c r="Y303" s="11"/>
      <c r="AA303" s="437" t="s">
        <v>376</v>
      </c>
      <c r="AB303" s="437" t="s">
        <v>448</v>
      </c>
      <c r="AC303" s="437"/>
      <c r="AD303" s="437" t="s">
        <v>377</v>
      </c>
      <c r="AE303" s="437"/>
      <c r="AF303" s="437"/>
      <c r="AG303" s="437"/>
      <c r="AH303" s="437"/>
      <c r="AI303" s="437"/>
      <c r="AJ303" s="437"/>
      <c r="AK303" s="437"/>
    </row>
    <row r="304" spans="2:37" x14ac:dyDescent="0.25">
      <c r="B304" s="78"/>
      <c r="C304" s="92"/>
      <c r="D304" s="92"/>
      <c r="E304" s="92" t="str">
        <f>IF(AND(OR(E302="R",E303="R"),D302=D303), "hov du skal lave 2 forskellige ionforbindelser - du må ikke bare skrive den samme 2 gange","")</f>
        <v/>
      </c>
      <c r="F304" s="92"/>
      <c r="G304" s="92"/>
      <c r="H304" s="92"/>
      <c r="I304" s="92"/>
      <c r="J304" s="92"/>
      <c r="K304" s="80"/>
      <c r="M304" s="11"/>
      <c r="Y304" s="11"/>
      <c r="AA304" s="437"/>
      <c r="AB304" s="437"/>
      <c r="AC304" s="437"/>
      <c r="AD304" s="437"/>
      <c r="AE304" s="437"/>
      <c r="AF304" s="437"/>
      <c r="AG304" s="437"/>
      <c r="AH304" s="437"/>
      <c r="AI304" s="437"/>
      <c r="AJ304" s="437"/>
      <c r="AK304" s="437"/>
    </row>
    <row r="305" spans="2:37" x14ac:dyDescent="0.25">
      <c r="B305" s="78" t="str" cm="1">
        <f t="array" ref="B305">IF(AND(E302:E303="R"),"Sejt! - Nu er du klar til af afstemme reaktionsskemaet med koefficienter - hvis der ikke skal være nogen koefficient, skal du skrive 1","Udfyld ovenstående lyseblå felter, inden du går videre")</f>
        <v>Udfyld ovenstående lyseblå felter, inden du går videre</v>
      </c>
      <c r="C305" s="92"/>
      <c r="D305" s="92"/>
      <c r="E305" s="92"/>
      <c r="F305" s="92"/>
      <c r="G305" s="92"/>
      <c r="H305" s="92"/>
      <c r="I305" s="92"/>
      <c r="J305" s="92"/>
      <c r="K305" s="80"/>
      <c r="M305" s="11"/>
      <c r="Y305" s="11"/>
      <c r="AA305" s="437"/>
      <c r="AB305" s="437"/>
      <c r="AC305" s="437"/>
      <c r="AD305" s="437"/>
      <c r="AE305" s="437"/>
      <c r="AF305" s="437"/>
      <c r="AG305" s="437"/>
      <c r="AH305" s="437"/>
      <c r="AI305" s="437"/>
      <c r="AJ305" s="437"/>
      <c r="AK305" s="437"/>
    </row>
    <row r="306" spans="2:37" ht="18.75" x14ac:dyDescent="0.3">
      <c r="B306" s="265" t="s">
        <v>735</v>
      </c>
      <c r="C306" s="272"/>
      <c r="D306" s="273" t="str">
        <f>IF(E297="R",D297&amp;"   +","")</f>
        <v/>
      </c>
      <c r="E306" s="274"/>
      <c r="F306" s="273" t="str">
        <f>IF(J297="R",I297,"")</f>
        <v/>
      </c>
      <c r="G306" s="273" t="str">
        <f>IF(AND(C308="R",E308="R",H308="R",J308="R"),"↛","⟶")</f>
        <v>⟶</v>
      </c>
      <c r="H306" s="274"/>
      <c r="I306" s="273" t="str">
        <f>IF(OR(D302=AB302,D303=AB302),AB302&amp;"   +","")</f>
        <v/>
      </c>
      <c r="J306" s="274"/>
      <c r="K306" s="275" t="str">
        <f>IF(OR(D302=AB303,D303=AB303),AB303,"")</f>
        <v/>
      </c>
      <c r="M306" s="11"/>
      <c r="Y306" s="11"/>
      <c r="AA306" s="437">
        <v>1</v>
      </c>
      <c r="AB306" s="437"/>
      <c r="AC306" s="437">
        <v>2</v>
      </c>
      <c r="AD306" s="437"/>
      <c r="AE306" s="437"/>
      <c r="AF306" s="437">
        <v>2</v>
      </c>
      <c r="AG306" s="437"/>
      <c r="AH306" s="437">
        <v>1</v>
      </c>
      <c r="AI306" s="437"/>
      <c r="AJ306" s="437"/>
      <c r="AK306" s="437"/>
    </row>
    <row r="307" spans="2:37" ht="18.75" x14ac:dyDescent="0.3">
      <c r="B307" s="265" t="s">
        <v>283</v>
      </c>
      <c r="C307" s="278"/>
      <c r="D307" s="279" t="str">
        <f>C294</f>
        <v>Aluminiumsulfat</v>
      </c>
      <c r="E307" s="278"/>
      <c r="F307" s="279" t="str">
        <f>H294</f>
        <v>Jern(III)bromid</v>
      </c>
      <c r="G307" s="279"/>
      <c r="H307" s="278"/>
      <c r="I307" s="279" t="str">
        <f>IF(OR(F302=AD302,F303=AD302),AD302,"")</f>
        <v/>
      </c>
      <c r="J307" s="278"/>
      <c r="K307" s="279" t="str">
        <f>IF(OR(F302=AD303,F303=AD303),AD303,"")</f>
        <v/>
      </c>
      <c r="M307" s="11"/>
      <c r="Y307" s="11"/>
      <c r="AA307" s="437"/>
      <c r="AB307" s="437"/>
      <c r="AC307" s="437"/>
      <c r="AD307" s="437"/>
      <c r="AE307" s="437"/>
      <c r="AF307" s="437"/>
      <c r="AG307" s="437"/>
      <c r="AH307" s="437"/>
      <c r="AI307" s="437"/>
      <c r="AJ307" s="437"/>
      <c r="AK307" s="437"/>
    </row>
    <row r="308" spans="2:37" ht="18.75" x14ac:dyDescent="0.3">
      <c r="B308" s="280" t="s">
        <v>123</v>
      </c>
      <c r="C308" s="265" t="str">
        <f>IF(C306=AA306,"R",IF(C306="","","F"))</f>
        <v/>
      </c>
      <c r="D308" s="280"/>
      <c r="E308" s="265" t="str">
        <f>IF(E306=AC306,"R",IF(E306="","","F"))</f>
        <v/>
      </c>
      <c r="F308" s="265"/>
      <c r="G308" s="265"/>
      <c r="H308" s="265" t="str">
        <f>IF(H306=AF306,"R",IF(H306="","","F"))</f>
        <v/>
      </c>
      <c r="I308" s="265"/>
      <c r="J308" s="265" t="str">
        <f>IF(J306=AH306,"R",IF(J306="","","F"))</f>
        <v/>
      </c>
      <c r="K308" s="263"/>
      <c r="M308" s="11"/>
      <c r="Y308" s="11"/>
      <c r="AA308" s="437"/>
      <c r="AB308" s="437"/>
      <c r="AC308" s="437"/>
      <c r="AD308" s="437"/>
      <c r="AE308" s="437"/>
      <c r="AF308" s="437"/>
      <c r="AG308" s="437"/>
      <c r="AH308" s="437"/>
      <c r="AI308" s="437"/>
      <c r="AJ308" s="437"/>
      <c r="AK308" s="437"/>
    </row>
    <row r="309" spans="2:37" x14ac:dyDescent="0.25">
      <c r="B309" s="88"/>
      <c r="C309" s="96"/>
      <c r="D309" s="96"/>
      <c r="E309" s="96"/>
      <c r="F309" s="96"/>
      <c r="G309" s="96"/>
      <c r="H309" s="96"/>
      <c r="I309" s="96"/>
      <c r="J309" s="96"/>
      <c r="K309" s="86"/>
      <c r="M309" s="11"/>
      <c r="Y309" s="11"/>
      <c r="AA309" s="437"/>
      <c r="AB309" s="437"/>
      <c r="AC309" s="437"/>
      <c r="AD309" s="437"/>
      <c r="AE309" s="437"/>
      <c r="AF309" s="437"/>
      <c r="AG309" s="437"/>
      <c r="AH309" s="437"/>
      <c r="AI309" s="437"/>
      <c r="AJ309" s="437"/>
      <c r="AK309" s="437"/>
    </row>
    <row r="310" spans="2:37" x14ac:dyDescent="0.25">
      <c r="B310" s="87" t="str">
        <f>IF(AND(C308="R",E308="R",H308="R",J308="R"),"Flot det endelige reaktionsskema er nemlig:                Al₂(SO₄)₃ (aq) + 2FeBr₃ (aq) ⟶ 2AlBr₃ (aq) + Fe₂(SO₄)₃ (aq)                      Bemærk at der ikke vil ske nogen udfældning","")</f>
        <v/>
      </c>
      <c r="C310" s="96"/>
      <c r="D310" s="96"/>
      <c r="E310" s="96"/>
      <c r="F310" s="96"/>
      <c r="G310" s="96"/>
      <c r="H310" s="96"/>
      <c r="I310" s="96"/>
      <c r="J310" s="96"/>
      <c r="K310" s="86"/>
      <c r="M310" s="11"/>
      <c r="Y310" s="11"/>
      <c r="AA310" s="437"/>
      <c r="AB310" s="437"/>
      <c r="AC310" s="437"/>
      <c r="AD310" s="437"/>
      <c r="AE310" s="437"/>
      <c r="AF310" s="437"/>
      <c r="AG310" s="437"/>
      <c r="AH310" s="437"/>
      <c r="AI310" s="437"/>
      <c r="AJ310" s="437"/>
      <c r="AK310" s="437"/>
    </row>
    <row r="311" spans="2:37" x14ac:dyDescent="0.25">
      <c r="B311" s="79"/>
      <c r="C311" s="92"/>
      <c r="D311" s="92"/>
      <c r="E311" s="92"/>
      <c r="F311" s="92"/>
      <c r="G311" s="92"/>
      <c r="H311" s="92"/>
      <c r="I311" s="92"/>
      <c r="J311" s="92"/>
      <c r="K311" s="80"/>
      <c r="M311" s="11"/>
      <c r="Y311" s="11"/>
      <c r="AA311" s="437"/>
      <c r="AB311" s="437"/>
      <c r="AC311" s="437"/>
      <c r="AD311" s="437"/>
      <c r="AE311" s="437"/>
      <c r="AF311" s="437"/>
      <c r="AG311" s="437"/>
      <c r="AH311" s="437"/>
      <c r="AI311" s="437"/>
      <c r="AJ311" s="437"/>
      <c r="AK311" s="437"/>
    </row>
    <row r="312" spans="2:37" x14ac:dyDescent="0.25">
      <c r="B312" s="79"/>
      <c r="C312" s="92"/>
      <c r="D312" s="92"/>
      <c r="E312" s="92"/>
      <c r="F312" s="92"/>
      <c r="G312" s="92"/>
      <c r="H312" s="92"/>
      <c r="I312" s="92"/>
      <c r="J312" s="92"/>
      <c r="K312" s="80"/>
      <c r="M312" s="11"/>
      <c r="Y312" s="11"/>
      <c r="AA312" s="437"/>
      <c r="AB312" s="437"/>
      <c r="AC312" s="437"/>
      <c r="AD312" s="437"/>
      <c r="AE312" s="437"/>
      <c r="AF312" s="437"/>
      <c r="AG312" s="437"/>
      <c r="AH312" s="437"/>
      <c r="AI312" s="437"/>
      <c r="AJ312" s="437"/>
      <c r="AK312" s="437"/>
    </row>
    <row r="313" spans="2:37" ht="28.5" x14ac:dyDescent="0.45">
      <c r="B313" s="89" t="s">
        <v>415</v>
      </c>
      <c r="C313" s="90"/>
      <c r="D313" s="90"/>
      <c r="E313" s="90"/>
      <c r="F313" s="90"/>
      <c r="G313" s="90"/>
      <c r="H313" s="90"/>
      <c r="I313" s="90"/>
      <c r="J313" s="90"/>
      <c r="K313" s="85"/>
      <c r="M313" s="11"/>
      <c r="Y313" s="11"/>
      <c r="AA313" s="437"/>
      <c r="AB313" s="437"/>
      <c r="AC313" s="437"/>
      <c r="AD313" s="437"/>
      <c r="AE313" s="437"/>
      <c r="AF313" s="437"/>
      <c r="AG313" s="437"/>
      <c r="AH313" s="437"/>
      <c r="AI313" s="437"/>
      <c r="AJ313" s="437"/>
      <c r="AK313" s="437"/>
    </row>
    <row r="314" spans="2:37" x14ac:dyDescent="0.25">
      <c r="B314" s="78" t="s">
        <v>484</v>
      </c>
      <c r="C314" s="92"/>
      <c r="D314" s="92"/>
      <c r="E314" s="92"/>
      <c r="F314" s="92"/>
      <c r="G314" s="92"/>
      <c r="H314" s="92"/>
      <c r="I314" s="92"/>
      <c r="J314" s="92"/>
      <c r="K314" s="80"/>
      <c r="M314" s="11"/>
      <c r="Y314" s="11"/>
      <c r="AA314" s="437"/>
      <c r="AB314" s="437"/>
      <c r="AC314" s="437"/>
      <c r="AD314" s="437"/>
      <c r="AE314" s="437"/>
      <c r="AF314" s="437"/>
      <c r="AG314" s="437"/>
      <c r="AH314" s="437"/>
      <c r="AI314" s="437"/>
      <c r="AJ314" s="437"/>
      <c r="AK314" s="437"/>
    </row>
    <row r="315" spans="2:37" x14ac:dyDescent="0.25">
      <c r="B315" s="78"/>
      <c r="C315" s="92"/>
      <c r="D315" s="92"/>
      <c r="E315" s="92"/>
      <c r="F315" s="92"/>
      <c r="G315" s="92"/>
      <c r="H315" s="92"/>
      <c r="I315" s="92"/>
      <c r="J315" s="92"/>
      <c r="K315" s="80"/>
      <c r="M315" s="11"/>
      <c r="Y315" s="11"/>
      <c r="AA315" s="437"/>
      <c r="AB315" s="437"/>
      <c r="AC315" s="437"/>
      <c r="AD315" s="437"/>
      <c r="AE315" s="437"/>
      <c r="AF315" s="437"/>
      <c r="AG315" s="437"/>
      <c r="AH315" s="437"/>
      <c r="AI315" s="437"/>
      <c r="AJ315" s="437"/>
      <c r="AK315" s="437"/>
    </row>
    <row r="316" spans="2:37" ht="18.75" x14ac:dyDescent="0.3">
      <c r="B316" s="263" t="s">
        <v>225</v>
      </c>
      <c r="C316" s="264" t="s">
        <v>419</v>
      </c>
      <c r="D316" s="264" t="s">
        <v>263</v>
      </c>
      <c r="E316" s="264" t="s">
        <v>123</v>
      </c>
      <c r="F316" s="92"/>
      <c r="G316" s="265" t="s">
        <v>225</v>
      </c>
      <c r="H316" s="264" t="s">
        <v>416</v>
      </c>
      <c r="I316" s="264" t="s">
        <v>263</v>
      </c>
      <c r="J316" s="264" t="s">
        <v>123</v>
      </c>
      <c r="K316" s="80"/>
      <c r="M316" s="11"/>
      <c r="Y316" s="11"/>
      <c r="AA316" s="437"/>
      <c r="AB316" s="437"/>
      <c r="AC316" s="437"/>
      <c r="AD316" s="437"/>
      <c r="AE316" s="437"/>
      <c r="AF316" s="437"/>
      <c r="AG316" s="437"/>
      <c r="AH316" s="437"/>
      <c r="AI316" s="437"/>
      <c r="AJ316" s="437"/>
      <c r="AK316" s="437"/>
    </row>
    <row r="317" spans="2:37" ht="18.75" x14ac:dyDescent="0.3">
      <c r="B317" s="266" t="s">
        <v>281</v>
      </c>
      <c r="C317" s="12"/>
      <c r="D317" s="264" t="str">
        <f>IF(E317="R",AB317,"")</f>
        <v/>
      </c>
      <c r="E317" s="265" t="str">
        <f>IF(OR(TRIM(C317)=AA317,TRIM(C317)=AB317),"R",IF(C317="","","F"))</f>
        <v/>
      </c>
      <c r="F317" s="92"/>
      <c r="G317" s="264" t="s">
        <v>258</v>
      </c>
      <c r="H317" s="12"/>
      <c r="I317" s="264" t="str">
        <f>IF(J317="R",AH317,"")</f>
        <v/>
      </c>
      <c r="J317" s="265" t="str">
        <f>IF(OR(TRIM(H317)=AG317,TRIM(H317)=AH317),"R",IF(H317="","","F"))</f>
        <v/>
      </c>
      <c r="K317" s="80"/>
      <c r="M317" s="11"/>
      <c r="Y317" s="11"/>
      <c r="AA317" s="437" t="s">
        <v>420</v>
      </c>
      <c r="AB317" s="437" t="s">
        <v>465</v>
      </c>
      <c r="AC317" s="437"/>
      <c r="AD317" s="437"/>
      <c r="AE317" s="437"/>
      <c r="AF317" s="437"/>
      <c r="AG317" s="437" t="s">
        <v>350</v>
      </c>
      <c r="AH317" s="437" t="s">
        <v>139</v>
      </c>
      <c r="AI317" s="437"/>
      <c r="AJ317" s="437"/>
      <c r="AK317" s="437"/>
    </row>
    <row r="318" spans="2:37" ht="18.75" x14ac:dyDescent="0.3">
      <c r="B318" s="266" t="s">
        <v>282</v>
      </c>
      <c r="C318" s="12"/>
      <c r="D318" s="264" t="str">
        <f>IF(E318="R",AB318,"")</f>
        <v/>
      </c>
      <c r="E318" s="265" t="str">
        <f>IF(OR(TRIM(C318)=AA318,TRIM(C318)=AB318),"R",IF(C318="","","F"))</f>
        <v/>
      </c>
      <c r="F318" s="92"/>
      <c r="G318" s="264" t="s">
        <v>259</v>
      </c>
      <c r="H318" s="12"/>
      <c r="I318" s="264" t="str">
        <f>IF(J318="R",AH318,"")</f>
        <v/>
      </c>
      <c r="J318" s="265" t="str">
        <f>IF(OR(TRIM(H318)=AG318,TRIM(H318)=AH318),"R",IF(H318="","","F"))</f>
        <v/>
      </c>
      <c r="K318" s="80"/>
      <c r="M318" s="11"/>
      <c r="Y318" s="11"/>
      <c r="AA318" s="437" t="s">
        <v>414</v>
      </c>
      <c r="AB318" s="437" t="s">
        <v>466</v>
      </c>
      <c r="AC318" s="437"/>
      <c r="AD318" s="437"/>
      <c r="AE318" s="437"/>
      <c r="AF318" s="437"/>
      <c r="AG318" s="437" t="s">
        <v>417</v>
      </c>
      <c r="AH318" s="437" t="s">
        <v>468</v>
      </c>
      <c r="AI318" s="437"/>
      <c r="AJ318" s="437"/>
      <c r="AK318" s="437"/>
    </row>
    <row r="319" spans="2:37" ht="18.75" x14ac:dyDescent="0.3">
      <c r="B319" s="266" t="s">
        <v>265</v>
      </c>
      <c r="C319" s="12"/>
      <c r="D319" s="264" t="str">
        <f>IF(E319="R",AB319,"")</f>
        <v/>
      </c>
      <c r="E319" s="265" t="str">
        <f>IF(OR(TRIM(C319)=AA319,TRIM(C319)=AB319,TRIM(C319)=AC319),"R",IF(C319="","","F"))</f>
        <v/>
      </c>
      <c r="F319" s="92"/>
      <c r="G319" s="264" t="s">
        <v>264</v>
      </c>
      <c r="H319" s="12"/>
      <c r="I319" s="264" t="str">
        <f>IF(J319="R",AH319,"")</f>
        <v/>
      </c>
      <c r="J319" s="265" t="str">
        <f>IF(OR(TRIM(H319)=AG319,TRIM(H319)=AH319),"R",IF(H319="","","F"))</f>
        <v/>
      </c>
      <c r="K319" s="80"/>
      <c r="M319" s="11"/>
      <c r="Y319" s="11"/>
      <c r="AA319" s="437" t="s">
        <v>421</v>
      </c>
      <c r="AB319" s="437" t="s">
        <v>467</v>
      </c>
      <c r="AC319" s="437" t="s">
        <v>422</v>
      </c>
      <c r="AD319" s="437"/>
      <c r="AE319" s="437"/>
      <c r="AF319" s="437"/>
      <c r="AG319" s="437" t="s">
        <v>418</v>
      </c>
      <c r="AH319" s="437" t="s">
        <v>469</v>
      </c>
      <c r="AI319" s="437"/>
      <c r="AJ319" s="437"/>
      <c r="AK319" s="437"/>
    </row>
    <row r="320" spans="2:37" x14ac:dyDescent="0.25">
      <c r="B320" s="78"/>
      <c r="C320" s="92" t="str">
        <f>IF(D319=AB319,"Netop ved acetat plejer man faktisk at placere den negative ion først","")</f>
        <v/>
      </c>
      <c r="D320" s="92"/>
      <c r="E320" s="92"/>
      <c r="F320" s="92"/>
      <c r="G320" s="92"/>
      <c r="H320" s="92" t="str">
        <f>IF(H319="nh42co3","du skal skrive paranteser rundt om sammensatte ioner, når der er flere end en", "")</f>
        <v/>
      </c>
      <c r="I320" s="92"/>
      <c r="J320" s="92"/>
      <c r="K320" s="80"/>
      <c r="M320" s="11"/>
      <c r="Y320" s="11"/>
      <c r="AA320" s="437"/>
      <c r="AB320" s="437"/>
      <c r="AC320" s="437"/>
      <c r="AD320" s="437"/>
      <c r="AE320" s="437"/>
      <c r="AF320" s="437"/>
      <c r="AG320" s="437"/>
      <c r="AH320" s="437"/>
      <c r="AI320" s="437"/>
      <c r="AJ320" s="437"/>
      <c r="AK320" s="437"/>
    </row>
    <row r="321" spans="1:37" x14ac:dyDescent="0.25">
      <c r="A321" s="18"/>
      <c r="C321" s="28"/>
      <c r="D321" s="28"/>
      <c r="E321" s="28"/>
      <c r="F321" s="28"/>
      <c r="G321" s="28"/>
      <c r="H321" s="28"/>
      <c r="I321" s="28"/>
      <c r="J321" s="28"/>
      <c r="K321" s="18"/>
      <c r="M321" s="11"/>
      <c r="Y321" s="11"/>
      <c r="AA321" s="437"/>
      <c r="AB321" s="437"/>
      <c r="AC321" s="437"/>
      <c r="AD321" s="437"/>
      <c r="AE321" s="437"/>
      <c r="AF321" s="437"/>
      <c r="AG321" s="437"/>
      <c r="AH321" s="437"/>
      <c r="AI321" s="437"/>
      <c r="AJ321" s="437"/>
      <c r="AK321" s="437"/>
    </row>
    <row r="322" spans="1:37" x14ac:dyDescent="0.25">
      <c r="B322" s="78" t="str" cm="1">
        <f t="array" ref="B322">IF(AND(E324:E325="R",G324:G325="R"),"",IF(AND(E317:E319="R",J317:J319="R"),"Flot! - Sammensæt opløsningens ioner, således du danner 2 nye neutrale ionforbindelser","Udfyld ovenstående lyseblå felter, inden du går videre"))</f>
        <v>Udfyld ovenstående lyseblå felter, inden du går videre</v>
      </c>
      <c r="C322" s="92"/>
      <c r="D322" s="92"/>
      <c r="E322" s="92"/>
      <c r="F322" s="92"/>
      <c r="G322" s="92"/>
      <c r="H322" s="92"/>
      <c r="I322" s="92"/>
      <c r="J322" s="92"/>
      <c r="K322" s="80"/>
      <c r="M322" s="11"/>
      <c r="Y322" s="11"/>
      <c r="AA322" s="437"/>
      <c r="AB322" s="437"/>
      <c r="AC322" s="437"/>
      <c r="AD322" s="437"/>
      <c r="AE322" s="437"/>
      <c r="AF322" s="437"/>
      <c r="AG322" s="437"/>
      <c r="AH322" s="437"/>
      <c r="AI322" s="437"/>
      <c r="AJ322" s="437"/>
      <c r="AK322" s="437"/>
    </row>
    <row r="323" spans="1:37" ht="18.75" x14ac:dyDescent="0.3">
      <c r="B323" s="263" t="s">
        <v>1027</v>
      </c>
      <c r="C323" s="264" t="str" cm="1">
        <f t="array" ref="C323">IF(AND(E317:E319="R",J317:J319="R"),"Kemisk formel","")</f>
        <v/>
      </c>
      <c r="D323" s="264" t="str" cm="1">
        <f t="array" ref="D323">IF(AND(E317:E319="R",J317:J319="R"),"Opskrevet korrekt","")</f>
        <v/>
      </c>
      <c r="E323" s="264" t="str" cm="1">
        <f t="array" ref="E323">IF(AND(E317:E319="R",J317:J319="R"),"Tjek","")</f>
        <v/>
      </c>
      <c r="F323" s="264" t="str" cm="1">
        <f t="array" ref="F323">IF(AND(E317:E319="R",J317:J319="R"),"Navne på de nye ionforbindelser","")</f>
        <v/>
      </c>
      <c r="G323" s="264" t="str" cm="1">
        <f t="array" ref="G323">IF(AND(E317:E319="R",J317:J319="R"),"Tjek:","")</f>
        <v/>
      </c>
      <c r="H323" s="92"/>
      <c r="I323" s="92"/>
      <c r="J323" s="92"/>
      <c r="K323" s="80"/>
      <c r="M323" s="11"/>
      <c r="Y323" s="11"/>
      <c r="AA323" s="437"/>
      <c r="AB323" s="437"/>
      <c r="AC323" s="437"/>
      <c r="AD323" s="437"/>
      <c r="AE323" s="437"/>
      <c r="AF323" s="437"/>
      <c r="AG323" s="437"/>
      <c r="AH323" s="437"/>
      <c r="AI323" s="437"/>
      <c r="AJ323" s="437"/>
      <c r="AK323" s="437"/>
    </row>
    <row r="324" spans="1:37" ht="18.75" x14ac:dyDescent="0.3">
      <c r="B324" s="268" t="s">
        <v>279</v>
      </c>
      <c r="C324" s="269"/>
      <c r="D324" s="270"/>
      <c r="E324" s="271" t="str">
        <f>IF(OR(TRIM(C324)=AA324,TRIM(C324)=AB324,TRIM(C324)=AA325,TRIM(C324)=AB325),"R",IF(D324="","","F"))</f>
        <v/>
      </c>
      <c r="F324" s="269"/>
      <c r="G324" s="271" t="str">
        <f>IF(OR(F324=AD324,F324=AD325),"R",IF(F324="","","F"))</f>
        <v/>
      </c>
      <c r="H324" s="92"/>
      <c r="I324" s="92"/>
      <c r="J324" s="92"/>
      <c r="K324" s="80"/>
      <c r="M324" s="11"/>
      <c r="Y324" s="11"/>
      <c r="AA324" s="437" t="s">
        <v>423</v>
      </c>
      <c r="AB324" s="437" t="s">
        <v>470</v>
      </c>
      <c r="AC324" s="437"/>
      <c r="AD324" s="437" t="s">
        <v>426</v>
      </c>
      <c r="AE324" s="437"/>
      <c r="AF324" s="437"/>
      <c r="AG324" s="437"/>
      <c r="AH324" s="437"/>
      <c r="AI324" s="437"/>
      <c r="AJ324" s="437"/>
      <c r="AK324" s="437"/>
    </row>
    <row r="325" spans="1:37" ht="18.75" x14ac:dyDescent="0.3">
      <c r="B325" s="266" t="s">
        <v>280</v>
      </c>
      <c r="C325" s="267"/>
      <c r="D325" s="264"/>
      <c r="E325" s="271" t="str">
        <f>IF(AND(D325&lt;&gt;"",D324=D325),"F",IF(OR(TRIM(C325)=AA324,TRIM(C325)=AB324,TRIM(C325)=AA325,TRIM(C325)=AB325),"R",IF(D325="","","F")))</f>
        <v/>
      </c>
      <c r="F325" s="267"/>
      <c r="G325" s="265" t="str">
        <f>IF(OR(F325=AD325,F325=AD324),"R",IF(F325="","","F"))</f>
        <v/>
      </c>
      <c r="H325" s="92"/>
      <c r="I325" s="92"/>
      <c r="J325" s="92"/>
      <c r="K325" s="80"/>
      <c r="M325" s="11"/>
      <c r="Y325" s="11"/>
      <c r="AA325" s="437" t="s">
        <v>424</v>
      </c>
      <c r="AB325" s="437" t="s">
        <v>471</v>
      </c>
      <c r="AC325" s="437"/>
      <c r="AD325" s="437" t="s">
        <v>425</v>
      </c>
      <c r="AE325" s="437"/>
      <c r="AF325" s="437"/>
      <c r="AG325" s="437"/>
      <c r="AH325" s="437"/>
      <c r="AI325" s="437"/>
      <c r="AJ325" s="437"/>
      <c r="AK325" s="437"/>
    </row>
    <row r="326" spans="1:37" x14ac:dyDescent="0.25">
      <c r="B326" s="78"/>
      <c r="C326" s="92"/>
      <c r="D326" s="92"/>
      <c r="E326" s="92" t="str">
        <f>IF(AND(OR(E324="R",E325="R"),D324=D325), "hov du skal lave 2 forskellige ionforbindelser - du må ikke bare skrive den samme 2 gange","")</f>
        <v/>
      </c>
      <c r="F326" s="92"/>
      <c r="G326" s="92"/>
      <c r="H326" s="92"/>
      <c r="I326" s="92"/>
      <c r="J326" s="92"/>
      <c r="K326" s="80"/>
      <c r="M326" s="11"/>
      <c r="Y326" s="11"/>
      <c r="AA326" s="437"/>
      <c r="AB326" s="437"/>
      <c r="AC326" s="437"/>
      <c r="AD326" s="437"/>
      <c r="AE326" s="437"/>
      <c r="AF326" s="437"/>
      <c r="AG326" s="437"/>
      <c r="AH326" s="437"/>
      <c r="AI326" s="437"/>
      <c r="AJ326" s="437"/>
      <c r="AK326" s="437"/>
    </row>
    <row r="327" spans="1:37" x14ac:dyDescent="0.25">
      <c r="B327" s="78" t="str" cm="1">
        <f t="array" ref="B327">IF(AND(E324:E325="R"),"Sejt! - Nu er du klar til af afstemme reaktionsskemaet med koefficienter - hvis der ikke skal være nogen koefficient, skal du skrive 1","Udfyld ovenstående lyseblå felter, inden du går videre")</f>
        <v>Udfyld ovenstående lyseblå felter, inden du går videre</v>
      </c>
      <c r="C327" s="92"/>
      <c r="D327" s="92"/>
      <c r="E327" s="92"/>
      <c r="F327" s="92"/>
      <c r="G327" s="92"/>
      <c r="H327" s="92"/>
      <c r="I327" s="92"/>
      <c r="J327" s="92"/>
      <c r="K327" s="80"/>
      <c r="M327" s="11"/>
      <c r="Y327" s="11"/>
      <c r="AA327" s="437"/>
      <c r="AB327" s="437"/>
      <c r="AC327" s="437"/>
      <c r="AD327" s="437"/>
      <c r="AE327" s="437"/>
      <c r="AF327" s="437"/>
      <c r="AG327" s="437"/>
      <c r="AH327" s="437"/>
      <c r="AI327" s="437"/>
      <c r="AJ327" s="437"/>
      <c r="AK327" s="437"/>
    </row>
    <row r="328" spans="1:37" ht="18.75" x14ac:dyDescent="0.3">
      <c r="B328" s="265" t="s">
        <v>736</v>
      </c>
      <c r="C328" s="272"/>
      <c r="D328" s="273" t="str">
        <f>IF(E319="R",D319&amp;"   +","")</f>
        <v/>
      </c>
      <c r="E328" s="274"/>
      <c r="F328" s="273" t="str">
        <f>IF(J319="R",I319,"")</f>
        <v/>
      </c>
      <c r="G328" s="273" t="s">
        <v>48</v>
      </c>
      <c r="H328" s="274"/>
      <c r="I328" s="273" t="str">
        <f>IF(OR(D324=AB324,D325=AB324),AB324&amp;"   +","")</f>
        <v/>
      </c>
      <c r="J328" s="274"/>
      <c r="K328" s="275" t="str">
        <f>IF(OR(D324=AB325,D325=AB325),AB325,"")</f>
        <v/>
      </c>
      <c r="M328" s="11"/>
      <c r="Y328" s="11"/>
      <c r="AA328" s="437">
        <v>1</v>
      </c>
      <c r="AB328" s="437"/>
      <c r="AC328" s="437">
        <v>1</v>
      </c>
      <c r="AD328" s="437"/>
      <c r="AE328" s="437"/>
      <c r="AF328" s="437">
        <v>1</v>
      </c>
      <c r="AG328" s="437"/>
      <c r="AH328" s="437">
        <v>1</v>
      </c>
      <c r="AI328" s="437"/>
      <c r="AJ328" s="437"/>
      <c r="AK328" s="437"/>
    </row>
    <row r="329" spans="1:37" ht="18.75" x14ac:dyDescent="0.3">
      <c r="B329" s="265" t="s">
        <v>283</v>
      </c>
      <c r="C329" s="278"/>
      <c r="D329" s="279" t="str">
        <f>C316</f>
        <v>Kviksølv(II)acetat</v>
      </c>
      <c r="E329" s="278"/>
      <c r="F329" s="279" t="str">
        <f>H316</f>
        <v>Calciumsulfit</v>
      </c>
      <c r="G329" s="279"/>
      <c r="H329" s="278"/>
      <c r="I329" s="279" t="str">
        <f>IF(OR(F324=AD324,F325=AD324),AD324,"")</f>
        <v/>
      </c>
      <c r="J329" s="278"/>
      <c r="K329" s="279" t="str">
        <f>IF(OR(F324=AD325,F325=AD325),AD325,"")</f>
        <v/>
      </c>
      <c r="M329" s="11"/>
      <c r="Y329" s="11"/>
      <c r="AA329" s="437"/>
      <c r="AB329" s="437"/>
      <c r="AC329" s="437"/>
      <c r="AD329" s="437"/>
      <c r="AE329" s="437"/>
      <c r="AF329" s="437"/>
      <c r="AG329" s="437"/>
      <c r="AH329" s="437"/>
      <c r="AI329" s="437"/>
      <c r="AJ329" s="437"/>
      <c r="AK329" s="437"/>
    </row>
    <row r="330" spans="1:37" ht="18.75" x14ac:dyDescent="0.3">
      <c r="B330" s="280" t="s">
        <v>123</v>
      </c>
      <c r="C330" s="265" t="str">
        <f>IF(C328=AA328,"R",IF(C328="","","F"))</f>
        <v/>
      </c>
      <c r="D330" s="280"/>
      <c r="E330" s="265" t="str">
        <f>IF(E328=AC328,"R",IF(E328="","","F"))</f>
        <v/>
      </c>
      <c r="F330" s="265"/>
      <c r="G330" s="265"/>
      <c r="H330" s="265" t="str">
        <f>IF(H328=AF328,"R",IF(H328="","","F"))</f>
        <v/>
      </c>
      <c r="I330" s="265"/>
      <c r="J330" s="265" t="str">
        <f>IF(J328=AH328,"R",IF(J328="","","F"))</f>
        <v/>
      </c>
      <c r="K330" s="263"/>
      <c r="M330" s="11"/>
      <c r="Y330" s="11"/>
      <c r="AA330" s="437"/>
      <c r="AB330" s="437"/>
      <c r="AC330" s="437"/>
      <c r="AD330" s="437"/>
      <c r="AE330" s="437"/>
      <c r="AF330" s="437"/>
      <c r="AG330" s="437"/>
      <c r="AH330" s="437"/>
      <c r="AI330" s="437"/>
      <c r="AJ330" s="437"/>
      <c r="AK330" s="437"/>
    </row>
  </sheetData>
  <sheetProtection algorithmName="SHA-512" hashValue="Du1cToKj+gg1WkX41ZbPhQaiK8I5PQVWTIAiweao8ylukzurLH6qYD9DufWY+WZ2J4BV8Q1l5yIZ5OymQbrAFA==" saltValue="FDbc/F3c0eq2uWLdlCT+fg==" spinCount="100000" sheet="1" objects="1" scenarios="1" formatColumns="0" formatRows="0"/>
  <conditionalFormatting sqref="B6:K6 F7:F10 K7:K11 B11:J11">
    <cfRule type="expression" dxfId="562" priority="251">
      <formula>AND($E$8:$E$10="R",$J$8:$J$10="R")</formula>
    </cfRule>
  </conditionalFormatting>
  <conditionalFormatting sqref="B12:K12 B13:G13 H13:K16">
    <cfRule type="expression" dxfId="561" priority="259">
      <formula>AND($E$15:$E$16="R",$G$15:$G$16="R")</formula>
    </cfRule>
  </conditionalFormatting>
  <conditionalFormatting sqref="B17:K17">
    <cfRule type="expression" dxfId="560" priority="205">
      <formula>AND($E$15:$E$16="R",$G$15:$G$16="R")</formula>
    </cfRule>
  </conditionalFormatting>
  <conditionalFormatting sqref="B18:K18 B21:K21">
    <cfRule type="expression" dxfId="559" priority="306">
      <formula>AND($C$20="R",$E$20="R",$H$20="R",$J$20="R")</formula>
    </cfRule>
  </conditionalFormatting>
  <conditionalFormatting sqref="C8 H9 B15">
    <cfRule type="expression" dxfId="558" priority="252">
      <formula>AND($E$8:$E$10="R",$J$8:$J$10="R")</formula>
    </cfRule>
  </conditionalFormatting>
  <conditionalFormatting sqref="C8:C9 H8:H9">
    <cfRule type="expression" dxfId="557" priority="400">
      <formula>AND(#REF!="R",#REF!="R")</formula>
    </cfRule>
  </conditionalFormatting>
  <conditionalFormatting sqref="C10">
    <cfRule type="expression" dxfId="556" priority="250">
      <formula>AND($E$8="R",$E$9="R")</formula>
    </cfRule>
  </conditionalFormatting>
  <conditionalFormatting sqref="C15:C16 F15:F16">
    <cfRule type="expression" dxfId="555" priority="258">
      <formula>AND($E$8:$E$10="R",$J$8:$J$10="R")</formula>
    </cfRule>
  </conditionalFormatting>
  <conditionalFormatting sqref="C19 C41 C64 C86 C108 C130 C152 C174 C196 C218 C240 C262 C284 C306 C328">
    <cfRule type="expression" dxfId="554" priority="402">
      <formula>AND(#REF!="R")</formula>
    </cfRule>
    <cfRule type="expression" dxfId="553" priority="403">
      <formula>AND($E$15:$E$16="R")</formula>
    </cfRule>
  </conditionalFormatting>
  <conditionalFormatting sqref="C37:C38 F37:F38">
    <cfRule type="expression" dxfId="552" priority="213">
      <formula>AND($E$30:$E$32="R",$J$30:$J$32="R")</formula>
    </cfRule>
  </conditionalFormatting>
  <conditionalFormatting sqref="C60:C61 F60:F61">
    <cfRule type="expression" dxfId="551" priority="202">
      <formula>AND($E$53:$E$55="R",$J$53:$J$55="R")</formula>
    </cfRule>
  </conditionalFormatting>
  <conditionalFormatting sqref="C82:C83 F82:F83">
    <cfRule type="expression" dxfId="550" priority="198">
      <formula>AND($E$75:$E$77="R",$J$75:$J$77="R")</formula>
    </cfRule>
  </conditionalFormatting>
  <conditionalFormatting sqref="C104:C105 F104:F105">
    <cfRule type="expression" dxfId="549" priority="194">
      <formula>AND($E$97:$E$99="R",$J$97:$J$99="R")</formula>
    </cfRule>
  </conditionalFormatting>
  <conditionalFormatting sqref="C126:C127 F126:F127">
    <cfRule type="expression" dxfId="548" priority="190">
      <formula>AND($E$119:$E$121="R",$J$119:$J$121="R")</formula>
    </cfRule>
  </conditionalFormatting>
  <conditionalFormatting sqref="C148:C149 F148:F149">
    <cfRule type="expression" dxfId="547" priority="186">
      <formula>AND($E$141:$E$143="R",$J$141:$J$143="R")</formula>
    </cfRule>
  </conditionalFormatting>
  <conditionalFormatting sqref="C170:C171 F170:F171">
    <cfRule type="expression" dxfId="546" priority="182">
      <formula>AND($E$163:$E$165="R",$J$163:$J$165="R")</formula>
    </cfRule>
  </conditionalFormatting>
  <conditionalFormatting sqref="C192:C193 F192:F193">
    <cfRule type="expression" dxfId="545" priority="178">
      <formula>AND($E$185:$E$187="R",$J$185:$J$187="R")</formula>
    </cfRule>
  </conditionalFormatting>
  <conditionalFormatting sqref="C214:C215 F214:F215">
    <cfRule type="expression" dxfId="544" priority="174">
      <formula>AND($E$207:$E$209="R",$J$207:$J$209="R")</formula>
    </cfRule>
  </conditionalFormatting>
  <conditionalFormatting sqref="C236:C237 F236:F237">
    <cfRule type="expression" dxfId="543" priority="170">
      <formula>AND($E$229:$E$231="R",$J$229:$J$231="R")</formula>
    </cfRule>
  </conditionalFormatting>
  <conditionalFormatting sqref="C258:C259 F258:F259">
    <cfRule type="expression" dxfId="542" priority="166">
      <formula>AND($E$251:$E$253="R",$J$251:$J$253="R")</formula>
    </cfRule>
  </conditionalFormatting>
  <conditionalFormatting sqref="C280:C281 F280:F281">
    <cfRule type="expression" dxfId="541" priority="162">
      <formula>AND($E$273:$E$275="R",$J$273:$J$275="R")</formula>
    </cfRule>
  </conditionalFormatting>
  <conditionalFormatting sqref="C302:C303 F302:F303">
    <cfRule type="expression" dxfId="540" priority="158">
      <formula>AND($E$295:$E$297="R",$J$295:$J$297="R")</formula>
    </cfRule>
  </conditionalFormatting>
  <conditionalFormatting sqref="C324:C325 F324:F325">
    <cfRule type="expression" dxfId="539" priority="154">
      <formula>AND($E$317:$E$319="R",$J$317:$J$319="R")</formula>
    </cfRule>
  </conditionalFormatting>
  <conditionalFormatting sqref="E8:E10 J8:J10 E15:E16 G15:G16 C20 E20 H20 J20">
    <cfRule type="cellIs" dxfId="538" priority="227" operator="equal">
      <formula>"F"</formula>
    </cfRule>
    <cfRule type="cellIs" dxfId="537" priority="228" operator="equal">
      <formula>"R"</formula>
    </cfRule>
  </conditionalFormatting>
  <conditionalFormatting sqref="E19 E41 E64 E86 E108 E130 E152 E174 E196 E218 E240 E262 E284 E306 E328">
    <cfRule type="expression" dxfId="536" priority="398">
      <formula>AND(#REF!="R")</formula>
    </cfRule>
    <cfRule type="expression" dxfId="535" priority="399">
      <formula>AND($E$15:$E$16="R")</formula>
    </cfRule>
  </conditionalFormatting>
  <conditionalFormatting sqref="E30:E32">
    <cfRule type="cellIs" dxfId="534" priority="151" operator="equal">
      <formula>"F"</formula>
    </cfRule>
    <cfRule type="cellIs" dxfId="533" priority="152" operator="equal">
      <formula>"R"</formula>
    </cfRule>
  </conditionalFormatting>
  <conditionalFormatting sqref="E37:E38">
    <cfRule type="cellIs" dxfId="532" priority="35" operator="equal">
      <formula>"F"</formula>
    </cfRule>
    <cfRule type="cellIs" dxfId="531" priority="36" operator="equal">
      <formula>"R"</formula>
    </cfRule>
  </conditionalFormatting>
  <conditionalFormatting sqref="E53:E55">
    <cfRule type="cellIs" dxfId="530" priority="149" operator="equal">
      <formula>"F"</formula>
    </cfRule>
    <cfRule type="cellIs" dxfId="529" priority="150" operator="equal">
      <formula>"R"</formula>
    </cfRule>
  </conditionalFormatting>
  <conditionalFormatting sqref="E60:E61">
    <cfRule type="cellIs" dxfId="528" priority="33" operator="equal">
      <formula>"F"</formula>
    </cfRule>
    <cfRule type="cellIs" dxfId="527" priority="34" operator="equal">
      <formula>"R"</formula>
    </cfRule>
  </conditionalFormatting>
  <conditionalFormatting sqref="E75:E77">
    <cfRule type="cellIs" dxfId="526" priority="147" operator="equal">
      <formula>"F"</formula>
    </cfRule>
    <cfRule type="cellIs" dxfId="525" priority="148" operator="equal">
      <formula>"R"</formula>
    </cfRule>
  </conditionalFormatting>
  <conditionalFormatting sqref="E82:E83">
    <cfRule type="cellIs" dxfId="524" priority="57" operator="equal">
      <formula>"F"</formula>
    </cfRule>
    <cfRule type="cellIs" dxfId="523" priority="58" operator="equal">
      <formula>"R"</formula>
    </cfRule>
  </conditionalFormatting>
  <conditionalFormatting sqref="E97:E99">
    <cfRule type="cellIs" dxfId="522" priority="145" operator="equal">
      <formula>"F"</formula>
    </cfRule>
    <cfRule type="cellIs" dxfId="521" priority="146" operator="equal">
      <formula>"R"</formula>
    </cfRule>
  </conditionalFormatting>
  <conditionalFormatting sqref="E104:E105">
    <cfRule type="cellIs" dxfId="520" priority="55" operator="equal">
      <formula>"F"</formula>
    </cfRule>
    <cfRule type="cellIs" dxfId="519" priority="56" operator="equal">
      <formula>"R"</formula>
    </cfRule>
  </conditionalFormatting>
  <conditionalFormatting sqref="E119:E121">
    <cfRule type="cellIs" dxfId="518" priority="143" operator="equal">
      <formula>"F"</formula>
    </cfRule>
    <cfRule type="cellIs" dxfId="517" priority="144" operator="equal">
      <formula>"R"</formula>
    </cfRule>
  </conditionalFormatting>
  <conditionalFormatting sqref="E126:E127">
    <cfRule type="cellIs" dxfId="516" priority="53" operator="equal">
      <formula>"F"</formula>
    </cfRule>
    <cfRule type="cellIs" dxfId="515" priority="54" operator="equal">
      <formula>"R"</formula>
    </cfRule>
  </conditionalFormatting>
  <conditionalFormatting sqref="E141:E143">
    <cfRule type="cellIs" dxfId="514" priority="141" operator="equal">
      <formula>"F"</formula>
    </cfRule>
    <cfRule type="cellIs" dxfId="513" priority="142" operator="equal">
      <formula>"R"</formula>
    </cfRule>
  </conditionalFormatting>
  <conditionalFormatting sqref="E148:E149">
    <cfRule type="cellIs" dxfId="512" priority="51" operator="equal">
      <formula>"F"</formula>
    </cfRule>
    <cfRule type="cellIs" dxfId="511" priority="52" operator="equal">
      <formula>"R"</formula>
    </cfRule>
  </conditionalFormatting>
  <conditionalFormatting sqref="E163:E165">
    <cfRule type="cellIs" dxfId="510" priority="139" operator="equal">
      <formula>"F"</formula>
    </cfRule>
    <cfRule type="cellIs" dxfId="509" priority="140" operator="equal">
      <formula>"R"</formula>
    </cfRule>
  </conditionalFormatting>
  <conditionalFormatting sqref="E170:E171">
    <cfRule type="cellIs" dxfId="508" priority="49" operator="equal">
      <formula>"F"</formula>
    </cfRule>
    <cfRule type="cellIs" dxfId="507" priority="50" operator="equal">
      <formula>"R"</formula>
    </cfRule>
  </conditionalFormatting>
  <conditionalFormatting sqref="E185:E187">
    <cfRule type="cellIs" dxfId="506" priority="137" operator="equal">
      <formula>"F"</formula>
    </cfRule>
    <cfRule type="cellIs" dxfId="505" priority="138" operator="equal">
      <formula>"R"</formula>
    </cfRule>
  </conditionalFormatting>
  <conditionalFormatting sqref="E192:E193">
    <cfRule type="cellIs" dxfId="504" priority="47" operator="equal">
      <formula>"F"</formula>
    </cfRule>
    <cfRule type="cellIs" dxfId="503" priority="48" operator="equal">
      <formula>"R"</formula>
    </cfRule>
  </conditionalFormatting>
  <conditionalFormatting sqref="E207:E209">
    <cfRule type="cellIs" dxfId="502" priority="135" operator="equal">
      <formula>"F"</formula>
    </cfRule>
    <cfRule type="cellIs" dxfId="501" priority="136" operator="equal">
      <formula>"R"</formula>
    </cfRule>
  </conditionalFormatting>
  <conditionalFormatting sqref="E214:E215">
    <cfRule type="cellIs" dxfId="500" priority="45" operator="equal">
      <formula>"F"</formula>
    </cfRule>
    <cfRule type="cellIs" dxfId="499" priority="46" operator="equal">
      <formula>"R"</formula>
    </cfRule>
  </conditionalFormatting>
  <conditionalFormatting sqref="E229:E231">
    <cfRule type="cellIs" dxfId="498" priority="133" operator="equal">
      <formula>"F"</formula>
    </cfRule>
    <cfRule type="cellIs" dxfId="497" priority="134" operator="equal">
      <formula>"R"</formula>
    </cfRule>
  </conditionalFormatting>
  <conditionalFormatting sqref="E236:E237">
    <cfRule type="cellIs" dxfId="496" priority="43" operator="equal">
      <formula>"F"</formula>
    </cfRule>
    <cfRule type="cellIs" dxfId="495" priority="44" operator="equal">
      <formula>"R"</formula>
    </cfRule>
  </conditionalFormatting>
  <conditionalFormatting sqref="E251:E253">
    <cfRule type="cellIs" dxfId="494" priority="131" operator="equal">
      <formula>"F"</formula>
    </cfRule>
    <cfRule type="cellIs" dxfId="493" priority="132" operator="equal">
      <formula>"R"</formula>
    </cfRule>
  </conditionalFormatting>
  <conditionalFormatting sqref="E258:E259">
    <cfRule type="cellIs" dxfId="492" priority="41" operator="equal">
      <formula>"F"</formula>
    </cfRule>
    <cfRule type="cellIs" dxfId="491" priority="42" operator="equal">
      <formula>"R"</formula>
    </cfRule>
  </conditionalFormatting>
  <conditionalFormatting sqref="E273:E275">
    <cfRule type="cellIs" dxfId="490" priority="129" operator="equal">
      <formula>"F"</formula>
    </cfRule>
    <cfRule type="cellIs" dxfId="489" priority="130" operator="equal">
      <formula>"R"</formula>
    </cfRule>
  </conditionalFormatting>
  <conditionalFormatting sqref="E280:E281">
    <cfRule type="cellIs" dxfId="488" priority="39" operator="equal">
      <formula>"F"</formula>
    </cfRule>
    <cfRule type="cellIs" dxfId="487" priority="40" operator="equal">
      <formula>"R"</formula>
    </cfRule>
  </conditionalFormatting>
  <conditionalFormatting sqref="E295:E297">
    <cfRule type="cellIs" dxfId="486" priority="127" operator="equal">
      <formula>"F"</formula>
    </cfRule>
    <cfRule type="cellIs" dxfId="485" priority="128" operator="equal">
      <formula>"R"</formula>
    </cfRule>
  </conditionalFormatting>
  <conditionalFormatting sqref="E302:E303">
    <cfRule type="cellIs" dxfId="484" priority="31" operator="equal">
      <formula>"F"</formula>
    </cfRule>
    <cfRule type="cellIs" dxfId="483" priority="32" operator="equal">
      <formula>"R"</formula>
    </cfRule>
  </conditionalFormatting>
  <conditionalFormatting sqref="E317:E319">
    <cfRule type="cellIs" dxfId="482" priority="125" operator="equal">
      <formula>"F"</formula>
    </cfRule>
    <cfRule type="cellIs" dxfId="481" priority="126" operator="equal">
      <formula>"R"</formula>
    </cfRule>
  </conditionalFormatting>
  <conditionalFormatting sqref="E324:E325">
    <cfRule type="cellIs" dxfId="480" priority="37" operator="equal">
      <formula>"F"</formula>
    </cfRule>
    <cfRule type="cellIs" dxfId="479" priority="38" operator="equal">
      <formula>"R"</formula>
    </cfRule>
  </conditionalFormatting>
  <conditionalFormatting sqref="G37:G38 C43 E43 H43 J43">
    <cfRule type="cellIs" dxfId="478" priority="214" operator="equal">
      <formula>"F"</formula>
    </cfRule>
    <cfRule type="cellIs" dxfId="477" priority="215" operator="equal">
      <formula>"R"</formula>
    </cfRule>
  </conditionalFormatting>
  <conditionalFormatting sqref="G60:G61 C66 E66 H66 J66">
    <cfRule type="cellIs" dxfId="476" priority="203" operator="equal">
      <formula>"F"</formula>
    </cfRule>
    <cfRule type="cellIs" dxfId="475" priority="204" operator="equal">
      <formula>"R"</formula>
    </cfRule>
  </conditionalFormatting>
  <conditionalFormatting sqref="G82:G83 C88 E88 H88 J88">
    <cfRule type="cellIs" dxfId="474" priority="199" operator="equal">
      <formula>"F"</formula>
    </cfRule>
    <cfRule type="cellIs" dxfId="473" priority="200" operator="equal">
      <formula>"R"</formula>
    </cfRule>
  </conditionalFormatting>
  <conditionalFormatting sqref="G104:G105 C110 E110 H110 J110">
    <cfRule type="cellIs" dxfId="472" priority="195" operator="equal">
      <formula>"F"</formula>
    </cfRule>
    <cfRule type="cellIs" dxfId="471" priority="196" operator="equal">
      <formula>"R"</formula>
    </cfRule>
  </conditionalFormatting>
  <conditionalFormatting sqref="G126:G127 C132 E132 H132 J132">
    <cfRule type="cellIs" dxfId="470" priority="191" operator="equal">
      <formula>"F"</formula>
    </cfRule>
    <cfRule type="cellIs" dxfId="469" priority="192" operator="equal">
      <formula>"R"</formula>
    </cfRule>
  </conditionalFormatting>
  <conditionalFormatting sqref="G148:G149 C154 E154 H154 J154">
    <cfRule type="cellIs" dxfId="468" priority="187" operator="equal">
      <formula>"F"</formula>
    </cfRule>
    <cfRule type="cellIs" dxfId="467" priority="188" operator="equal">
      <formula>"R"</formula>
    </cfRule>
  </conditionalFormatting>
  <conditionalFormatting sqref="G170:G171 C176 E176 H176 J176">
    <cfRule type="cellIs" dxfId="466" priority="183" operator="equal">
      <formula>"F"</formula>
    </cfRule>
    <cfRule type="cellIs" dxfId="465" priority="184" operator="equal">
      <formula>"R"</formula>
    </cfRule>
  </conditionalFormatting>
  <conditionalFormatting sqref="G192:G193 C198 E198 H198 J198">
    <cfRule type="cellIs" dxfId="464" priority="179" operator="equal">
      <formula>"F"</formula>
    </cfRule>
    <cfRule type="cellIs" dxfId="463" priority="180" operator="equal">
      <formula>"R"</formula>
    </cfRule>
  </conditionalFormatting>
  <conditionalFormatting sqref="G214:G215 C220 E220 H220 J220">
    <cfRule type="cellIs" dxfId="462" priority="175" operator="equal">
      <formula>"F"</formula>
    </cfRule>
    <cfRule type="cellIs" dxfId="461" priority="176" operator="equal">
      <formula>"R"</formula>
    </cfRule>
  </conditionalFormatting>
  <conditionalFormatting sqref="G236:G237 C242 E242 H242 J242">
    <cfRule type="cellIs" dxfId="460" priority="171" operator="equal">
      <formula>"F"</formula>
    </cfRule>
    <cfRule type="cellIs" dxfId="459" priority="172" operator="equal">
      <formula>"R"</formula>
    </cfRule>
  </conditionalFormatting>
  <conditionalFormatting sqref="G258:G259 C264 E264 H264 J264">
    <cfRule type="cellIs" dxfId="458" priority="167" operator="equal">
      <formula>"F"</formula>
    </cfRule>
    <cfRule type="cellIs" dxfId="457" priority="168" operator="equal">
      <formula>"R"</formula>
    </cfRule>
  </conditionalFormatting>
  <conditionalFormatting sqref="G280:G281 C286 E286 H286 J286">
    <cfRule type="cellIs" dxfId="456" priority="163" operator="equal">
      <formula>"F"</formula>
    </cfRule>
    <cfRule type="cellIs" dxfId="455" priority="164" operator="equal">
      <formula>"R"</formula>
    </cfRule>
  </conditionalFormatting>
  <conditionalFormatting sqref="G302:G303 C308 E308 H308 J308">
    <cfRule type="cellIs" dxfId="454" priority="159" operator="equal">
      <formula>"F"</formula>
    </cfRule>
    <cfRule type="cellIs" dxfId="453" priority="160" operator="equal">
      <formula>"R"</formula>
    </cfRule>
  </conditionalFormatting>
  <conditionalFormatting sqref="G324:G325 C330 E330 H330 J330">
    <cfRule type="cellIs" dxfId="452" priority="155" operator="equal">
      <formula>"F"</formula>
    </cfRule>
    <cfRule type="cellIs" dxfId="451" priority="156" operator="equal">
      <formula>"R"</formula>
    </cfRule>
  </conditionalFormatting>
  <conditionalFormatting sqref="H8 C9 B16">
    <cfRule type="expression" dxfId="450" priority="257">
      <formula>AND($E$8:$E$10="R",$J$8:$J$10="R")</formula>
    </cfRule>
  </conditionalFormatting>
  <conditionalFormatting sqref="H10">
    <cfRule type="expression" dxfId="449" priority="249">
      <formula>AND($J$8="R",$J$9="R")</formula>
    </cfRule>
  </conditionalFormatting>
  <conditionalFormatting sqref="H19 J19 J64 J86 J108 J130 J152 J174 J196 J218 J240 J262 J284 J306 J328">
    <cfRule type="expression" dxfId="448" priority="225">
      <formula>AND(C15:C16="R")</formula>
    </cfRule>
    <cfRule type="expression" dxfId="447" priority="262">
      <formula>AND($E$15:$E$16="R")</formula>
    </cfRule>
  </conditionalFormatting>
  <conditionalFormatting sqref="H41">
    <cfRule type="expression" dxfId="446" priority="29">
      <formula>AND(C37:C38="R")</formula>
    </cfRule>
    <cfRule type="expression" dxfId="445" priority="30">
      <formula>AND($E$15:$E$16="R")</formula>
    </cfRule>
  </conditionalFormatting>
  <conditionalFormatting sqref="H64">
    <cfRule type="expression" dxfId="444" priority="27">
      <formula>AND(C60:C61="R")</formula>
    </cfRule>
    <cfRule type="expression" dxfId="443" priority="28">
      <formula>AND($E$15:$E$16="R")</formula>
    </cfRule>
  </conditionalFormatting>
  <conditionalFormatting sqref="H86">
    <cfRule type="expression" dxfId="442" priority="25">
      <formula>AND(C82:C83="R")</formula>
    </cfRule>
    <cfRule type="expression" dxfId="441" priority="26">
      <formula>AND($E$15:$E$16="R")</formula>
    </cfRule>
  </conditionalFormatting>
  <conditionalFormatting sqref="H108">
    <cfRule type="expression" dxfId="440" priority="23">
      <formula>AND(C104:C105="R")</formula>
    </cfRule>
    <cfRule type="expression" dxfId="439" priority="24">
      <formula>AND($E$15:$E$16="R")</formula>
    </cfRule>
  </conditionalFormatting>
  <conditionalFormatting sqref="H130">
    <cfRule type="expression" dxfId="438" priority="21">
      <formula>AND(C126:C127="R")</formula>
    </cfRule>
    <cfRule type="expression" dxfId="437" priority="22">
      <formula>AND($E$15:$E$16="R")</formula>
    </cfRule>
  </conditionalFormatting>
  <conditionalFormatting sqref="H152">
    <cfRule type="expression" dxfId="436" priority="19">
      <formula>AND(C148:C149="R")</formula>
    </cfRule>
    <cfRule type="expression" dxfId="435" priority="20">
      <formula>AND($E$15:$E$16="R")</formula>
    </cfRule>
  </conditionalFormatting>
  <conditionalFormatting sqref="H174">
    <cfRule type="expression" dxfId="434" priority="17">
      <formula>AND(C170:C171="R")</formula>
    </cfRule>
    <cfRule type="expression" dxfId="433" priority="18">
      <formula>AND($E$15:$E$16="R")</formula>
    </cfRule>
  </conditionalFormatting>
  <conditionalFormatting sqref="H196">
    <cfRule type="expression" dxfId="432" priority="15">
      <formula>AND(C192:C193="R")</formula>
    </cfRule>
    <cfRule type="expression" dxfId="431" priority="16">
      <formula>AND($E$15:$E$16="R")</formula>
    </cfRule>
  </conditionalFormatting>
  <conditionalFormatting sqref="H218">
    <cfRule type="expression" dxfId="430" priority="13">
      <formula>AND(C214:C215="R")</formula>
    </cfRule>
    <cfRule type="expression" dxfId="429" priority="14">
      <formula>AND($E$15:$E$16="R")</formula>
    </cfRule>
  </conditionalFormatting>
  <conditionalFormatting sqref="H240">
    <cfRule type="expression" dxfId="428" priority="11">
      <formula>AND(C236:C237="R")</formula>
    </cfRule>
    <cfRule type="expression" dxfId="427" priority="12">
      <formula>AND($E$15:$E$16="R")</formula>
    </cfRule>
  </conditionalFormatting>
  <conditionalFormatting sqref="H262">
    <cfRule type="expression" dxfId="426" priority="9">
      <formula>AND(C258:C259="R")</formula>
    </cfRule>
    <cfRule type="expression" dxfId="425" priority="10">
      <formula>AND($E$15:$E$16="R")</formula>
    </cfRule>
  </conditionalFormatting>
  <conditionalFormatting sqref="H284">
    <cfRule type="expression" dxfId="424" priority="7">
      <formula>AND(C280:C281="R")</formula>
    </cfRule>
    <cfRule type="expression" dxfId="423" priority="8">
      <formula>AND($E$15:$E$16="R")</formula>
    </cfRule>
  </conditionalFormatting>
  <conditionalFormatting sqref="H306">
    <cfRule type="expression" dxfId="422" priority="5">
      <formula>AND(C302:C303="R")</formula>
    </cfRule>
    <cfRule type="expression" dxfId="421" priority="6">
      <formula>AND($E$15:$E$16="R")</formula>
    </cfRule>
  </conditionalFormatting>
  <conditionalFormatting sqref="H328">
    <cfRule type="expression" dxfId="420" priority="3">
      <formula>AND(C324:C325="R")</formula>
    </cfRule>
    <cfRule type="expression" dxfId="419" priority="4">
      <formula>AND($E$15:$E$16="R")</formula>
    </cfRule>
  </conditionalFormatting>
  <conditionalFormatting sqref="J30:J32">
    <cfRule type="cellIs" dxfId="418" priority="123" operator="equal">
      <formula>"F"</formula>
    </cfRule>
    <cfRule type="cellIs" dxfId="417" priority="124" operator="equal">
      <formula>"R"</formula>
    </cfRule>
  </conditionalFormatting>
  <conditionalFormatting sqref="J41">
    <cfRule type="expression" dxfId="416" priority="1">
      <formula>AND(E37:E38="R")</formula>
    </cfRule>
    <cfRule type="expression" dxfId="415" priority="2">
      <formula>AND($E$15:$E$16="R")</formula>
    </cfRule>
  </conditionalFormatting>
  <conditionalFormatting sqref="J53:J55">
    <cfRule type="cellIs" dxfId="414" priority="121" operator="equal">
      <formula>"F"</formula>
    </cfRule>
    <cfRule type="cellIs" dxfId="413" priority="122" operator="equal">
      <formula>"R"</formula>
    </cfRule>
  </conditionalFormatting>
  <conditionalFormatting sqref="J75:J77">
    <cfRule type="cellIs" dxfId="412" priority="119" operator="equal">
      <formula>"F"</formula>
    </cfRule>
    <cfRule type="cellIs" dxfId="411" priority="120" operator="equal">
      <formula>"R"</formula>
    </cfRule>
  </conditionalFormatting>
  <conditionalFormatting sqref="J97:J99">
    <cfRule type="cellIs" dxfId="410" priority="117" operator="equal">
      <formula>"F"</formula>
    </cfRule>
    <cfRule type="cellIs" dxfId="409" priority="118" operator="equal">
      <formula>"R"</formula>
    </cfRule>
  </conditionalFormatting>
  <conditionalFormatting sqref="J119:J121">
    <cfRule type="cellIs" dxfId="408" priority="115" operator="equal">
      <formula>"F"</formula>
    </cfRule>
    <cfRule type="cellIs" dxfId="407" priority="116" operator="equal">
      <formula>"R"</formula>
    </cfRule>
  </conditionalFormatting>
  <conditionalFormatting sqref="J141:J143">
    <cfRule type="cellIs" dxfId="406" priority="113" operator="equal">
      <formula>"F"</formula>
    </cfRule>
    <cfRule type="cellIs" dxfId="405" priority="114" operator="equal">
      <formula>"R"</formula>
    </cfRule>
  </conditionalFormatting>
  <conditionalFormatting sqref="J163:J165">
    <cfRule type="cellIs" dxfId="404" priority="111" operator="equal">
      <formula>"F"</formula>
    </cfRule>
    <cfRule type="cellIs" dxfId="403" priority="112" operator="equal">
      <formula>"R"</formula>
    </cfRule>
  </conditionalFormatting>
  <conditionalFormatting sqref="J185:J187">
    <cfRule type="cellIs" dxfId="402" priority="109" operator="equal">
      <formula>"F"</formula>
    </cfRule>
    <cfRule type="cellIs" dxfId="401" priority="110" operator="equal">
      <formula>"R"</formula>
    </cfRule>
  </conditionalFormatting>
  <conditionalFormatting sqref="J207:J209">
    <cfRule type="cellIs" dxfId="400" priority="107" operator="equal">
      <formula>"F"</formula>
    </cfRule>
    <cfRule type="cellIs" dxfId="399" priority="108" operator="equal">
      <formula>"R"</formula>
    </cfRule>
  </conditionalFormatting>
  <conditionalFormatting sqref="J229:J231">
    <cfRule type="cellIs" dxfId="398" priority="105" operator="equal">
      <formula>"F"</formula>
    </cfRule>
    <cfRule type="cellIs" dxfId="397" priority="106" operator="equal">
      <formula>"R"</formula>
    </cfRule>
  </conditionalFormatting>
  <conditionalFormatting sqref="J251:J253">
    <cfRule type="cellIs" dxfId="396" priority="103" operator="equal">
      <formula>"F"</formula>
    </cfRule>
    <cfRule type="cellIs" dxfId="395" priority="104" operator="equal">
      <formula>"R"</formula>
    </cfRule>
  </conditionalFormatting>
  <conditionalFormatting sqref="J273:J275">
    <cfRule type="cellIs" dxfId="394" priority="101" operator="equal">
      <formula>"F"</formula>
    </cfRule>
    <cfRule type="cellIs" dxfId="393" priority="102" operator="equal">
      <formula>"R"</formula>
    </cfRule>
  </conditionalFormatting>
  <conditionalFormatting sqref="J295:J297">
    <cfRule type="cellIs" dxfId="392" priority="99" operator="equal">
      <formula>"F"</formula>
    </cfRule>
    <cfRule type="cellIs" dxfId="391" priority="100" operator="equal">
      <formula>"R"</formula>
    </cfRule>
  </conditionalFormatting>
  <conditionalFormatting sqref="J317:J319">
    <cfRule type="cellIs" dxfId="390" priority="97" operator="equal">
      <formula>"F"</formula>
    </cfRule>
    <cfRule type="cellIs" dxfId="389" priority="98" operator="equal">
      <formula>"R"</formula>
    </cfRule>
  </conditionalFormatting>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557F9-D695-4E3B-B2EF-48498BD20689}">
  <sheetPr codeName="Sheet6">
    <tabColor theme="7" tint="0.39997558519241921"/>
  </sheetPr>
  <dimension ref="B1:AB46"/>
  <sheetViews>
    <sheetView showGridLines="0" zoomScale="145" zoomScaleNormal="145" workbookViewId="0"/>
  </sheetViews>
  <sheetFormatPr defaultRowHeight="15" x14ac:dyDescent="0.25"/>
  <cols>
    <col min="2" max="2" width="23.7109375" customWidth="1"/>
    <col min="3" max="3" width="41.7109375" customWidth="1"/>
    <col min="4" max="4" width="31.140625" customWidth="1"/>
    <col min="5" max="5" width="51.140625" customWidth="1"/>
    <col min="6" max="6" width="44.42578125" customWidth="1"/>
    <col min="7" max="7" width="16.28515625" customWidth="1"/>
    <col min="8" max="8" width="36" customWidth="1"/>
  </cols>
  <sheetData>
    <row r="1" spans="2:28" x14ac:dyDescent="0.25">
      <c r="AA1" s="437"/>
      <c r="AB1" s="437"/>
    </row>
    <row r="2" spans="2:28" ht="36.75" thickBot="1" x14ac:dyDescent="0.6">
      <c r="B2" s="313" t="s">
        <v>703</v>
      </c>
      <c r="C2" s="314"/>
      <c r="D2" s="314"/>
      <c r="E2" s="314"/>
      <c r="F2" s="315"/>
      <c r="AA2" s="437"/>
      <c r="AB2" s="437"/>
    </row>
    <row r="3" spans="2:28" x14ac:dyDescent="0.25">
      <c r="B3" s="79"/>
      <c r="C3" s="79"/>
      <c r="D3" s="79"/>
      <c r="E3" s="79"/>
      <c r="F3" s="97"/>
      <c r="AA3" s="437"/>
      <c r="AB3" s="437"/>
    </row>
    <row r="4" spans="2:28" ht="27" thickBot="1" x14ac:dyDescent="0.45">
      <c r="B4" s="316" t="s">
        <v>1016</v>
      </c>
      <c r="C4" s="295"/>
      <c r="D4" s="296"/>
      <c r="E4" s="79"/>
      <c r="F4" s="80"/>
      <c r="AA4" s="437"/>
      <c r="AB4" s="437"/>
    </row>
    <row r="5" spans="2:28" ht="18.75" x14ac:dyDescent="0.3">
      <c r="B5" s="271" t="s">
        <v>225</v>
      </c>
      <c r="C5" s="280" t="s">
        <v>283</v>
      </c>
      <c r="D5" s="280" t="s">
        <v>123</v>
      </c>
      <c r="E5" s="79"/>
      <c r="F5" s="80"/>
      <c r="AA5" s="437"/>
      <c r="AB5" s="437"/>
    </row>
    <row r="6" spans="2:28" ht="18.75" x14ac:dyDescent="0.3">
      <c r="B6" s="280" t="s">
        <v>50</v>
      </c>
      <c r="C6" s="12"/>
      <c r="D6" s="265" t="str">
        <f>IF(OR(C6=AA6,C6="vand"),"Rigtig",IF(C6="","","Forkert"))</f>
        <v/>
      </c>
      <c r="E6" s="79" t="str">
        <f>IF(D6="rigtig","Her bruges altid trivialnavnet: vand","")</f>
        <v/>
      </c>
      <c r="F6" s="80"/>
      <c r="AA6" s="437" t="s">
        <v>212</v>
      </c>
      <c r="AB6" s="437"/>
    </row>
    <row r="7" spans="2:28" ht="18.75" x14ac:dyDescent="0.3">
      <c r="B7" s="280" t="s">
        <v>202</v>
      </c>
      <c r="C7" s="12"/>
      <c r="D7" s="265" t="str">
        <f t="shared" ref="D7:D12" si="0">IF(C7=AA7,"Rigtig",IF(C7="","","Forkert"))</f>
        <v/>
      </c>
      <c r="E7" s="79"/>
      <c r="F7" s="80"/>
      <c r="AA7" s="437" t="s">
        <v>213</v>
      </c>
      <c r="AB7" s="437"/>
    </row>
    <row r="8" spans="2:28" ht="18.75" x14ac:dyDescent="0.3">
      <c r="B8" s="280" t="s">
        <v>77</v>
      </c>
      <c r="C8" s="12"/>
      <c r="D8" s="265" t="str">
        <f t="shared" si="0"/>
        <v/>
      </c>
      <c r="E8" s="79" t="str">
        <f>IF(D8="rigtig","Hvis HCl er opløst i vand kaldes det saltsyre","")</f>
        <v/>
      </c>
      <c r="F8" s="80"/>
      <c r="AA8" s="437" t="s">
        <v>214</v>
      </c>
      <c r="AB8" s="437"/>
    </row>
    <row r="9" spans="2:28" ht="18.75" x14ac:dyDescent="0.3">
      <c r="B9" s="280" t="s">
        <v>203</v>
      </c>
      <c r="C9" s="12"/>
      <c r="D9" s="265" t="str">
        <f t="shared" si="0"/>
        <v/>
      </c>
      <c r="E9" s="79"/>
      <c r="F9" s="80"/>
      <c r="AA9" s="437" t="s">
        <v>215</v>
      </c>
      <c r="AB9" s="437"/>
    </row>
    <row r="10" spans="2:28" ht="18.75" x14ac:dyDescent="0.3">
      <c r="B10" s="280" t="s">
        <v>204</v>
      </c>
      <c r="C10" s="12"/>
      <c r="D10" s="265" t="str">
        <f t="shared" si="0"/>
        <v/>
      </c>
      <c r="E10" s="79"/>
      <c r="F10" s="80"/>
      <c r="AA10" s="437" t="s">
        <v>216</v>
      </c>
      <c r="AB10" s="437"/>
    </row>
    <row r="11" spans="2:28" ht="18.75" x14ac:dyDescent="0.3">
      <c r="B11" s="280" t="s">
        <v>205</v>
      </c>
      <c r="C11" s="12"/>
      <c r="D11" s="265" t="str">
        <f t="shared" si="0"/>
        <v/>
      </c>
      <c r="E11" s="79"/>
      <c r="F11" s="80"/>
      <c r="AA11" s="437" t="s">
        <v>217</v>
      </c>
      <c r="AB11" s="437"/>
    </row>
    <row r="12" spans="2:28" ht="18.75" x14ac:dyDescent="0.3">
      <c r="B12" s="280" t="s">
        <v>206</v>
      </c>
      <c r="C12" s="12"/>
      <c r="D12" s="265" t="str">
        <f t="shared" si="0"/>
        <v/>
      </c>
      <c r="E12" s="79"/>
      <c r="F12" s="80"/>
      <c r="AA12" s="437" t="s">
        <v>218</v>
      </c>
      <c r="AB12" s="437"/>
    </row>
    <row r="13" spans="2:28" ht="18.75" x14ac:dyDescent="0.3">
      <c r="B13" s="280" t="s">
        <v>207</v>
      </c>
      <c r="C13" s="12"/>
      <c r="D13" s="265" t="str">
        <f>IF(OR(C13=AA13,C13="hydrogenperoxid"),"Rigtig",IF(C13="","","Forkert"))</f>
        <v/>
      </c>
      <c r="E13" s="79" t="str">
        <f>IF(D13="rigtig","Her bruges altid trivialnavnet: hydrogenperoxid","")</f>
        <v/>
      </c>
      <c r="F13" s="80"/>
      <c r="AA13" s="437" t="s">
        <v>219</v>
      </c>
      <c r="AB13" s="437"/>
    </row>
    <row r="14" spans="2:28" ht="18.75" x14ac:dyDescent="0.3">
      <c r="B14" s="280" t="s">
        <v>208</v>
      </c>
      <c r="C14" s="12"/>
      <c r="D14" s="265" t="str">
        <f t="shared" ref="D14:D21" si="1">IF(C14=AA14,"Rigtig",IF(C14="","","Forkert"))</f>
        <v/>
      </c>
      <c r="E14" s="79"/>
      <c r="F14" s="80"/>
      <c r="AA14" s="437" t="s">
        <v>220</v>
      </c>
      <c r="AB14" s="437"/>
    </row>
    <row r="15" spans="2:28" ht="18.75" x14ac:dyDescent="0.3">
      <c r="B15" s="280" t="s">
        <v>31</v>
      </c>
      <c r="C15" s="12"/>
      <c r="D15" s="265" t="str">
        <f t="shared" si="1"/>
        <v/>
      </c>
      <c r="E15" s="79" t="str">
        <f>IF(D15="rigtig","Alternativt: kuldioxid","")</f>
        <v/>
      </c>
      <c r="F15" s="80"/>
      <c r="AA15" s="437" t="s">
        <v>221</v>
      </c>
      <c r="AB15" s="437"/>
    </row>
    <row r="16" spans="2:28" ht="18.75" x14ac:dyDescent="0.3">
      <c r="B16" s="280" t="s">
        <v>222</v>
      </c>
      <c r="C16" s="12"/>
      <c r="D16" s="265" t="str">
        <f t="shared" si="1"/>
        <v/>
      </c>
      <c r="E16" s="79"/>
      <c r="F16" s="80"/>
      <c r="AA16" s="437" t="s">
        <v>223</v>
      </c>
      <c r="AB16" s="437"/>
    </row>
    <row r="17" spans="2:28" ht="18.75" x14ac:dyDescent="0.3">
      <c r="B17" s="280" t="s">
        <v>209</v>
      </c>
      <c r="C17" s="12"/>
      <c r="D17" s="265" t="str">
        <f t="shared" si="1"/>
        <v/>
      </c>
      <c r="E17" s="79"/>
      <c r="F17" s="80"/>
      <c r="AA17" s="437" t="s">
        <v>1070</v>
      </c>
      <c r="AB17" s="437"/>
    </row>
    <row r="18" spans="2:28" ht="18.75" x14ac:dyDescent="0.3">
      <c r="B18" s="280" t="s">
        <v>210</v>
      </c>
      <c r="C18" s="12"/>
      <c r="D18" s="265" t="str">
        <f t="shared" si="1"/>
        <v/>
      </c>
      <c r="E18" s="79"/>
      <c r="F18" s="80"/>
      <c r="AA18" s="437" t="s">
        <v>224</v>
      </c>
      <c r="AB18" s="437"/>
    </row>
    <row r="19" spans="2:28" ht="18.75" x14ac:dyDescent="0.3">
      <c r="B19" s="280" t="s">
        <v>211</v>
      </c>
      <c r="C19" s="12"/>
      <c r="D19" s="265" t="str">
        <f t="shared" si="1"/>
        <v/>
      </c>
      <c r="E19" s="79"/>
      <c r="F19" s="80"/>
      <c r="AA19" s="437" t="s">
        <v>1071</v>
      </c>
      <c r="AB19" s="437"/>
    </row>
    <row r="20" spans="2:28" ht="18.75" x14ac:dyDescent="0.3">
      <c r="B20" s="280" t="s">
        <v>49</v>
      </c>
      <c r="C20" s="12"/>
      <c r="D20" s="265" t="str">
        <f t="shared" si="1"/>
        <v/>
      </c>
      <c r="E20" s="79" t="str">
        <f>IF(D20="rigtig","ofte blot: ilt","")</f>
        <v/>
      </c>
      <c r="F20" s="80"/>
      <c r="AA20" s="437" t="s">
        <v>226</v>
      </c>
      <c r="AB20" s="437"/>
    </row>
    <row r="21" spans="2:28" ht="18.75" x14ac:dyDescent="0.3">
      <c r="B21" s="280" t="s">
        <v>89</v>
      </c>
      <c r="C21" s="12"/>
      <c r="D21" s="265" t="str">
        <f t="shared" si="1"/>
        <v/>
      </c>
      <c r="E21" s="79" t="str">
        <f>IF(D21="rigtig","ofte : brintgas","")</f>
        <v/>
      </c>
      <c r="F21" s="80"/>
      <c r="AA21" s="437" t="s">
        <v>227</v>
      </c>
      <c r="AB21" s="437"/>
    </row>
    <row r="22" spans="2:28" x14ac:dyDescent="0.25">
      <c r="B22" s="79"/>
      <c r="C22" s="79"/>
      <c r="D22" s="79"/>
      <c r="E22" s="79"/>
      <c r="F22" s="80"/>
      <c r="AA22" s="437"/>
      <c r="AB22" s="437"/>
    </row>
    <row r="23" spans="2:28" ht="27" thickBot="1" x14ac:dyDescent="0.45">
      <c r="B23" s="316" t="s">
        <v>241</v>
      </c>
      <c r="C23" s="295"/>
      <c r="D23" s="295"/>
      <c r="E23" s="317"/>
      <c r="F23" s="80"/>
      <c r="AA23" s="437"/>
      <c r="AB23" s="437"/>
    </row>
    <row r="24" spans="2:28" ht="18.75" x14ac:dyDescent="0.25">
      <c r="B24" s="318" t="s">
        <v>231</v>
      </c>
      <c r="C24" s="305"/>
      <c r="D24" s="305"/>
      <c r="E24" s="319"/>
      <c r="F24" s="80"/>
      <c r="AA24" s="437"/>
      <c r="AB24" s="437"/>
    </row>
    <row r="25" spans="2:28" x14ac:dyDescent="0.25">
      <c r="B25" s="266" t="s">
        <v>228</v>
      </c>
      <c r="C25" s="266" t="s">
        <v>229</v>
      </c>
      <c r="D25" s="266" t="s">
        <v>1026</v>
      </c>
      <c r="E25" s="266" t="s">
        <v>230</v>
      </c>
      <c r="F25" s="80"/>
      <c r="AA25" s="437"/>
      <c r="AB25" s="437"/>
    </row>
    <row r="26" spans="2:28" x14ac:dyDescent="0.25">
      <c r="B26" s="79"/>
      <c r="C26" s="79"/>
      <c r="D26" s="79"/>
      <c r="E26" s="79"/>
      <c r="F26" s="80"/>
      <c r="AA26" s="437"/>
      <c r="AB26" s="437"/>
    </row>
    <row r="27" spans="2:28" ht="18.75" x14ac:dyDescent="0.25">
      <c r="B27" s="280" t="s">
        <v>232</v>
      </c>
      <c r="C27" s="280" t="s">
        <v>238</v>
      </c>
      <c r="D27" s="280" t="s">
        <v>245</v>
      </c>
      <c r="E27" s="280" t="s">
        <v>123</v>
      </c>
      <c r="F27" s="80"/>
      <c r="AA27" s="437"/>
      <c r="AB27" s="437"/>
    </row>
    <row r="28" spans="2:28" ht="30" customHeight="1" x14ac:dyDescent="0.5">
      <c r="B28" s="280" t="s">
        <v>233</v>
      </c>
      <c r="C28" s="12"/>
      <c r="D28" s="259"/>
      <c r="E28" s="320" t="str">
        <f>IF(AND(C28=AA28,D28=AB28),"Rigtig - upolær binding - fordi ΔEN &lt; 0,5",IF(OR(C28="",D28=""),"","Forkert"))</f>
        <v/>
      </c>
      <c r="F28" s="80"/>
      <c r="AA28" s="437">
        <v>0.4</v>
      </c>
      <c r="AB28" s="437" t="s">
        <v>240</v>
      </c>
    </row>
    <row r="29" spans="2:28" ht="30" customHeight="1" x14ac:dyDescent="0.5">
      <c r="B29" s="280" t="s">
        <v>234</v>
      </c>
      <c r="C29" s="12"/>
      <c r="D29" s="259"/>
      <c r="E29" s="320" t="str">
        <f>IF(AND(C29=AA29,D29=AB29),"Rigtig - upolær binding - fordi ΔEN &lt; 0,5",IF(OR(C29="",D29=""),"","Forkert"))</f>
        <v/>
      </c>
      <c r="F29" s="80"/>
      <c r="AA29" s="437">
        <v>0.4</v>
      </c>
      <c r="AB29" s="437" t="s">
        <v>240</v>
      </c>
    </row>
    <row r="30" spans="2:28" ht="30" customHeight="1" x14ac:dyDescent="0.5">
      <c r="B30" s="280" t="s">
        <v>235</v>
      </c>
      <c r="C30" s="12"/>
      <c r="D30" s="259"/>
      <c r="E30" s="320" t="str">
        <f>IF(AND(C30=AA30,D30=AB30),"Rigtig - polær binding - fordi ΔEN &gt; 0,5",IF(OR(C30="",D30=""),"","Forkert"))</f>
        <v/>
      </c>
      <c r="F30" s="80"/>
      <c r="AA30" s="437">
        <v>1.4</v>
      </c>
      <c r="AB30" s="437" t="s">
        <v>239</v>
      </c>
    </row>
    <row r="31" spans="2:28" ht="30" customHeight="1" x14ac:dyDescent="0.5">
      <c r="B31" s="280" t="s">
        <v>236</v>
      </c>
      <c r="C31" s="12"/>
      <c r="D31" s="259"/>
      <c r="E31" s="320" t="str">
        <f>IF(AND(C31=AA31,D31=AB31),"Rigtig - upolær binding - fordi ΔEN &lt; 0,5",IF(OR(C31="",D31=""),"","Forkert"))</f>
        <v/>
      </c>
      <c r="F31" s="80"/>
      <c r="AA31" s="437">
        <v>0</v>
      </c>
      <c r="AB31" s="437" t="s">
        <v>240</v>
      </c>
    </row>
    <row r="32" spans="2:28" ht="30" customHeight="1" x14ac:dyDescent="0.5">
      <c r="B32" s="280" t="s">
        <v>237</v>
      </c>
      <c r="C32" s="12"/>
      <c r="D32" s="259"/>
      <c r="E32" s="320" t="str">
        <f>IF(AND(C32=AA32,D32=AB32),"Rigtig - polær binding - fordi ΔEN &gt; 0,5",IF(OR(C32="",D32=""),"","Forkert"))</f>
        <v/>
      </c>
      <c r="F32" s="80"/>
      <c r="AA32" s="437">
        <v>1</v>
      </c>
      <c r="AB32" s="437" t="s">
        <v>239</v>
      </c>
    </row>
    <row r="33" spans="2:28" x14ac:dyDescent="0.25">
      <c r="AA33" s="437"/>
      <c r="AB33" s="437"/>
    </row>
    <row r="34" spans="2:28" ht="26.25" x14ac:dyDescent="0.4">
      <c r="B34" s="321" t="s">
        <v>251</v>
      </c>
      <c r="C34" s="322"/>
      <c r="D34" s="322"/>
      <c r="E34" s="323"/>
      <c r="F34" s="80"/>
      <c r="AA34" s="437"/>
      <c r="AB34" s="437"/>
    </row>
    <row r="35" spans="2:28" ht="18.75" x14ac:dyDescent="0.25">
      <c r="B35" s="280" t="s">
        <v>243</v>
      </c>
      <c r="C35" s="280" t="s">
        <v>244</v>
      </c>
      <c r="D35" s="280" t="s">
        <v>123</v>
      </c>
      <c r="E35" s="280" t="str">
        <f>IF(LEFT(D36,6)="rigtig","Strukturformel","")</f>
        <v/>
      </c>
      <c r="F35" s="80"/>
      <c r="AA35" s="437"/>
      <c r="AB35" s="437"/>
    </row>
    <row r="36" spans="2:28" ht="121.5" customHeight="1" x14ac:dyDescent="0.25">
      <c r="B36" s="298" t="s">
        <v>242</v>
      </c>
      <c r="C36" s="77"/>
      <c r="D36" s="324" t="str">
        <f>IF(C36=AA36,"Rigtig - CCl₄ indeholder polære bindinger, men molekylet er symmetrisk - og har samlet ikke nogen dipol",IF(C36="","","Forkert"))</f>
        <v/>
      </c>
      <c r="E36" s="254"/>
      <c r="F36" s="80"/>
      <c r="N36" s="25"/>
      <c r="AA36" s="437" t="s">
        <v>240</v>
      </c>
      <c r="AB36" s="437"/>
    </row>
    <row r="37" spans="2:28" ht="100.5" customHeight="1" x14ac:dyDescent="0.25">
      <c r="B37" s="280" t="s">
        <v>33</v>
      </c>
      <c r="C37" s="77"/>
      <c r="D37" s="324" t="str">
        <f>IF(C37=AA37,"Rigtig - CH₄ indeholder ikke polære bindinger og er dertil et symmetrisk molekyle",IF(C37="","","Forkert"))</f>
        <v/>
      </c>
      <c r="E37" s="254"/>
      <c r="F37" s="80"/>
      <c r="N37" s="25"/>
      <c r="AA37" s="437" t="s">
        <v>240</v>
      </c>
      <c r="AB37" s="437"/>
    </row>
    <row r="38" spans="2:28" ht="91.5" customHeight="1" x14ac:dyDescent="0.25">
      <c r="B38" s="280" t="s">
        <v>31</v>
      </c>
      <c r="C38" s="77"/>
      <c r="D38" s="324" t="str">
        <f>IF(C38=AA38,"Rigtig - CO₂ indeholder polære bindinger, men elektronerne bliver trukket lige meget hver retning og indeholder derfor ikke nogen dipol",IF(C38="","","Forkert"))</f>
        <v/>
      </c>
      <c r="E38" s="254"/>
      <c r="F38" s="80"/>
      <c r="N38" s="25"/>
      <c r="AA38" s="437" t="s">
        <v>240</v>
      </c>
      <c r="AB38" s="437"/>
    </row>
    <row r="39" spans="2:28" ht="144" customHeight="1" thickBot="1" x14ac:dyDescent="0.3">
      <c r="B39" s="299" t="s">
        <v>36</v>
      </c>
      <c r="C39" s="77"/>
      <c r="D39" s="324" t="str">
        <f>IF(C39=AA39,"Rigtig - Methanol indeholder en stærk polær binding, som trækker elektronerne over i den ene side af molekylet",IF(C39="","","Forkert"))</f>
        <v/>
      </c>
      <c r="E39" s="254"/>
      <c r="F39" s="80"/>
      <c r="N39" s="25"/>
      <c r="AA39" s="437" t="s">
        <v>239</v>
      </c>
      <c r="AB39" s="437"/>
    </row>
    <row r="40" spans="2:28" x14ac:dyDescent="0.25">
      <c r="B40" s="79"/>
      <c r="C40" s="79"/>
      <c r="D40" s="79"/>
      <c r="E40" s="79"/>
      <c r="F40" s="80"/>
      <c r="AA40" s="437"/>
      <c r="AB40" s="437"/>
    </row>
    <row r="41" spans="2:28" ht="26.25" x14ac:dyDescent="0.4">
      <c r="B41" s="321" t="s">
        <v>252</v>
      </c>
      <c r="C41" s="322"/>
      <c r="D41" s="322"/>
      <c r="E41" s="325"/>
      <c r="F41" s="17"/>
      <c r="G41" s="17"/>
      <c r="AA41" s="437"/>
      <c r="AB41" s="437"/>
    </row>
    <row r="42" spans="2:28" ht="18.75" x14ac:dyDescent="0.25">
      <c r="B42" s="280" t="s">
        <v>243</v>
      </c>
      <c r="C42" s="280" t="s">
        <v>244</v>
      </c>
      <c r="D42" s="280" t="s">
        <v>123</v>
      </c>
      <c r="E42" s="280" t="s">
        <v>250</v>
      </c>
      <c r="G42" s="17"/>
      <c r="AA42" s="437"/>
      <c r="AB42" s="437"/>
    </row>
    <row r="43" spans="2:28" ht="133.5" customHeight="1" x14ac:dyDescent="0.25">
      <c r="B43" s="298" t="s">
        <v>247</v>
      </c>
      <c r="C43" s="77"/>
      <c r="D43" s="324" t="str">
        <f>IF(C43=AA43,"Rigtig - Fedtstoffer indeholder 6 elektronegative oxygenatomer - men også over 40 C-atomer uden polære bindinger. I praksis er fedtstoffer helt uopløselige i vand",IF(C43="","","Forkert"))</f>
        <v/>
      </c>
      <c r="E43" s="255"/>
      <c r="F43" s="257"/>
      <c r="N43" s="25"/>
      <c r="AA43" s="437" t="s">
        <v>240</v>
      </c>
      <c r="AB43" s="437"/>
    </row>
    <row r="44" spans="2:28" ht="118.5" customHeight="1" x14ac:dyDescent="0.25">
      <c r="B44" s="280" t="s">
        <v>246</v>
      </c>
      <c r="C44" s="77"/>
      <c r="D44" s="324" t="str">
        <f>IF(C44=AA44,"Rigtig - penta-1-ol indeholder et enkelt C-atom, der er bundet til den polære OH-gruppe, men også 4 C-atomer uden polære bindinger. Den samlede opløselighed er derfor lav - på ca. 2 % i vand",IF(C44="","","Forkert"))</f>
        <v/>
      </c>
      <c r="E44" s="255"/>
      <c r="F44" s="257"/>
      <c r="N44" s="25"/>
      <c r="AA44" s="437" t="s">
        <v>240</v>
      </c>
      <c r="AB44" s="437"/>
    </row>
    <row r="45" spans="2:28" ht="120" customHeight="1" x14ac:dyDescent="0.25">
      <c r="B45" s="280" t="s">
        <v>248</v>
      </c>
      <c r="C45" s="77"/>
      <c r="D45" s="324" t="str">
        <f>IF(C45=AA45,"Rigtig - Glycerol indeholder 3 C-atomer, der alle er bundet til polære OH-grupper. Molekylet er meget polært - og fuldstændig blandbar med vand",IF(C45="","","Forkert"))</f>
        <v/>
      </c>
      <c r="E45" s="255"/>
      <c r="F45" s="257"/>
      <c r="N45" s="25"/>
      <c r="AA45" s="437" t="s">
        <v>239</v>
      </c>
      <c r="AB45" s="437"/>
    </row>
    <row r="46" spans="2:28" ht="138.75" customHeight="1" thickBot="1" x14ac:dyDescent="0.3">
      <c r="B46" s="299" t="s">
        <v>249</v>
      </c>
      <c r="C46" s="98"/>
      <c r="D46" s="326" t="str">
        <f>IF(C46=AA46,"Rigtig - Ethylamin indeholder 2 C-atomer, hvoraf det ene er bundet til en polær NH₂-gruppe. Molekylet er fuldstændigt opløseligt i vand",IF(C46="","","Forkert"))</f>
        <v/>
      </c>
      <c r="E46" s="256"/>
      <c r="F46" s="258"/>
      <c r="N46" s="25"/>
      <c r="AA46" s="437" t="s">
        <v>239</v>
      </c>
      <c r="AB46" s="437"/>
    </row>
  </sheetData>
  <sheetProtection algorithmName="SHA-512" hashValue="EEgl3vX3kDzx8DrQYpM7kot+ca/j0XeiyrFIu+RachSptnV652yIBACEeD6tE8AAzr5w0tWbtrMELAbYmA9vrQ==" saltValue="XJSV5+cHILtW59eusX4aiQ==" spinCount="100000" sheet="1" objects="1" scenarios="1" formatColumns="0" formatRows="0"/>
  <conditionalFormatting sqref="D6:D21">
    <cfRule type="containsText" dxfId="388" priority="19" operator="containsText" text="Rigtig">
      <formula>NOT(ISERROR(SEARCH("Rigtig",D6)))</formula>
    </cfRule>
    <cfRule type="containsText" dxfId="387" priority="20" operator="containsText" text="Forkert">
      <formula>NOT(ISERROR(SEARCH("Forkert",D6)))</formula>
    </cfRule>
  </conditionalFormatting>
  <conditionalFormatting sqref="D36:D39">
    <cfRule type="containsText" dxfId="386" priority="11" operator="containsText" text="Rigtig">
      <formula>NOT(ISERROR(SEARCH("Rigtig",D36)))</formula>
    </cfRule>
    <cfRule type="containsText" dxfId="385" priority="12" operator="containsText" text="Forkert">
      <formula>NOT(ISERROR(SEARCH("Forkert",D36)))</formula>
    </cfRule>
  </conditionalFormatting>
  <conditionalFormatting sqref="D43:D46">
    <cfRule type="containsText" dxfId="384" priority="1" operator="containsText" text="Rigtig">
      <formula>NOT(ISERROR(SEARCH("Rigtig",D43)))</formula>
    </cfRule>
    <cfRule type="containsText" dxfId="383" priority="2" operator="containsText" text="Forkert">
      <formula>NOT(ISERROR(SEARCH("Forkert",D43)))</formula>
    </cfRule>
  </conditionalFormatting>
  <conditionalFormatting sqref="E28:E32">
    <cfRule type="containsText" dxfId="382" priority="13" operator="containsText" text="Rigtig">
      <formula>NOT(ISERROR(SEARCH("Rigtig",E28)))</formula>
    </cfRule>
    <cfRule type="containsText" dxfId="381" priority="14" operator="containsText" text="Forkert">
      <formula>NOT(ISERROR(SEARCH("Forkert",E28)))</formula>
    </cfRule>
  </conditionalFormatting>
  <pageMargins left="0.7" right="0.7" top="0.75" bottom="0.75" header="0.3" footer="0.3"/>
  <pageSetup paperSize="9" orientation="portrait" r:id="rId1"/>
  <ignoredErrors>
    <ignoredError sqref="E30 D13"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D916C-2A5E-45FF-9B96-C869838D06CB}">
  <sheetPr codeName="Sheet7">
    <tabColor theme="6" tint="0.39997558519241921"/>
  </sheetPr>
  <dimension ref="B1:AC33"/>
  <sheetViews>
    <sheetView showGridLines="0" zoomScale="175" zoomScaleNormal="175" workbookViewId="0"/>
  </sheetViews>
  <sheetFormatPr defaultRowHeight="15" x14ac:dyDescent="0.25"/>
  <cols>
    <col min="2" max="2" width="17.42578125" customWidth="1"/>
    <col min="3" max="3" width="23.85546875" customWidth="1"/>
    <col min="4" max="4" width="25.140625" bestFit="1" customWidth="1"/>
    <col min="5" max="5" width="30.42578125" customWidth="1"/>
    <col min="6" max="6" width="20.28515625" customWidth="1"/>
  </cols>
  <sheetData>
    <row r="1" spans="2:29" x14ac:dyDescent="0.25">
      <c r="AA1" s="437"/>
      <c r="AB1" s="437"/>
      <c r="AC1" s="437"/>
    </row>
    <row r="2" spans="2:29" ht="37.5" customHeight="1" thickBot="1" x14ac:dyDescent="0.55000000000000004">
      <c r="B2" s="327" t="s">
        <v>697</v>
      </c>
      <c r="C2" s="328"/>
      <c r="D2" s="328"/>
      <c r="E2" s="328"/>
      <c r="F2" s="329"/>
      <c r="AA2" s="442"/>
      <c r="AB2" s="437"/>
      <c r="AC2" s="437"/>
    </row>
    <row r="3" spans="2:29" ht="18.75" x14ac:dyDescent="0.3">
      <c r="B3" s="130" t="s">
        <v>695</v>
      </c>
      <c r="C3" s="79"/>
      <c r="D3" s="79"/>
      <c r="E3" s="79"/>
      <c r="F3" s="80"/>
      <c r="AA3" s="437"/>
      <c r="AB3" s="437"/>
      <c r="AC3" s="437"/>
    </row>
    <row r="4" spans="2:29" ht="18.75" customHeight="1" x14ac:dyDescent="0.3">
      <c r="B4" s="483" t="s">
        <v>696</v>
      </c>
      <c r="C4" s="484"/>
      <c r="D4" s="484"/>
      <c r="E4" s="484"/>
      <c r="F4" s="80"/>
      <c r="AA4" s="437"/>
      <c r="AB4" s="437"/>
      <c r="AC4" s="437"/>
    </row>
    <row r="5" spans="2:29" x14ac:dyDescent="0.25">
      <c r="B5" s="78"/>
      <c r="C5" s="79"/>
      <c r="D5" s="79"/>
      <c r="E5" s="79"/>
      <c r="F5" s="80"/>
      <c r="AA5" s="437"/>
      <c r="AB5" s="437"/>
      <c r="AC5" s="437"/>
    </row>
    <row r="6" spans="2:29" ht="18.75" x14ac:dyDescent="0.25">
      <c r="B6" s="307" t="s">
        <v>253</v>
      </c>
      <c r="C6" s="307" t="s">
        <v>254</v>
      </c>
      <c r="D6" s="307" t="s">
        <v>255</v>
      </c>
      <c r="E6" s="307" t="s">
        <v>123</v>
      </c>
      <c r="F6" s="80"/>
      <c r="AA6" s="437"/>
      <c r="AB6" s="437"/>
      <c r="AC6" s="437"/>
    </row>
    <row r="7" spans="2:29" ht="19.5" thickBot="1" x14ac:dyDescent="0.35">
      <c r="B7" s="330">
        <v>2.0299999999999999E-2</v>
      </c>
      <c r="C7" s="73"/>
      <c r="D7" s="73"/>
      <c r="E7" s="265" t="str">
        <f t="shared" ref="E7:E15" si="0">IF(OR(C7="",D7=""),"",IF(AND(C7=AB7,D7=AC7),"Rigtig","Forkert"))</f>
        <v/>
      </c>
      <c r="F7" s="80"/>
      <c r="AA7" s="437"/>
      <c r="AB7" s="437">
        <v>4</v>
      </c>
      <c r="AC7" s="437">
        <v>3</v>
      </c>
    </row>
    <row r="8" spans="2:29" ht="19.5" thickBot="1" x14ac:dyDescent="0.35">
      <c r="B8" s="330">
        <v>7842</v>
      </c>
      <c r="C8" s="73"/>
      <c r="D8" s="73"/>
      <c r="E8" s="265" t="str">
        <f t="shared" si="0"/>
        <v/>
      </c>
      <c r="F8" s="80"/>
      <c r="AA8" s="437"/>
      <c r="AB8" s="437">
        <v>0</v>
      </c>
      <c r="AC8" s="437">
        <v>4</v>
      </c>
    </row>
    <row r="9" spans="2:29" ht="19.5" thickBot="1" x14ac:dyDescent="0.35">
      <c r="B9" s="330">
        <v>0.04</v>
      </c>
      <c r="C9" s="74"/>
      <c r="D9" s="74"/>
      <c r="E9" s="265" t="str">
        <f t="shared" si="0"/>
        <v/>
      </c>
      <c r="F9" s="80"/>
      <c r="AA9" s="437"/>
      <c r="AB9" s="437">
        <v>2</v>
      </c>
      <c r="AC9" s="437">
        <v>1</v>
      </c>
    </row>
    <row r="10" spans="2:29" ht="19.5" thickBot="1" x14ac:dyDescent="0.35">
      <c r="B10" s="330">
        <v>400</v>
      </c>
      <c r="C10" s="74"/>
      <c r="D10" s="74"/>
      <c r="E10" s="265" t="str">
        <f t="shared" si="0"/>
        <v/>
      </c>
      <c r="F10" s="80"/>
      <c r="AA10" s="437"/>
      <c r="AB10" s="437">
        <v>0</v>
      </c>
      <c r="AC10" s="437">
        <v>3</v>
      </c>
    </row>
    <row r="11" spans="2:29" ht="19.5" thickBot="1" x14ac:dyDescent="0.35">
      <c r="B11" s="331">
        <v>402</v>
      </c>
      <c r="C11" s="74"/>
      <c r="D11" s="74"/>
      <c r="E11" s="265" t="str">
        <f t="shared" si="0"/>
        <v/>
      </c>
      <c r="F11" s="80"/>
      <c r="AA11" s="437"/>
      <c r="AB11" s="437">
        <v>2</v>
      </c>
      <c r="AC11" s="437">
        <v>5</v>
      </c>
    </row>
    <row r="12" spans="2:29" ht="19.5" thickBot="1" x14ac:dyDescent="0.35">
      <c r="B12" s="330">
        <v>402</v>
      </c>
      <c r="C12" s="74"/>
      <c r="D12" s="74"/>
      <c r="E12" s="265" t="str">
        <f t="shared" si="0"/>
        <v/>
      </c>
      <c r="F12" s="80"/>
      <c r="AA12" s="437"/>
      <c r="AB12" s="437">
        <v>0</v>
      </c>
      <c r="AC12" s="437">
        <v>3</v>
      </c>
    </row>
    <row r="13" spans="2:29" ht="19.5" thickBot="1" x14ac:dyDescent="0.35">
      <c r="B13" s="330">
        <v>1</v>
      </c>
      <c r="C13" s="74"/>
      <c r="D13" s="74"/>
      <c r="E13" s="265" t="str">
        <f t="shared" si="0"/>
        <v/>
      </c>
      <c r="F13" s="80"/>
      <c r="AA13" s="437"/>
      <c r="AB13" s="437">
        <v>0</v>
      </c>
      <c r="AC13" s="437">
        <v>1</v>
      </c>
    </row>
    <row r="14" spans="2:29" ht="19.5" thickBot="1" x14ac:dyDescent="0.35">
      <c r="B14" s="332">
        <v>1</v>
      </c>
      <c r="C14" s="74"/>
      <c r="D14" s="74"/>
      <c r="E14" s="265" t="str">
        <f t="shared" si="0"/>
        <v/>
      </c>
      <c r="F14" s="80"/>
      <c r="AA14" s="437"/>
      <c r="AB14" s="437">
        <v>3</v>
      </c>
      <c r="AC14" s="437">
        <v>4</v>
      </c>
    </row>
    <row r="15" spans="2:29" ht="19.5" thickBot="1" x14ac:dyDescent="0.35">
      <c r="B15" s="330">
        <v>0.4</v>
      </c>
      <c r="C15" s="74"/>
      <c r="D15" s="74"/>
      <c r="E15" s="265" t="str">
        <f t="shared" si="0"/>
        <v/>
      </c>
      <c r="F15" s="80"/>
      <c r="AA15" s="437"/>
      <c r="AB15" s="437">
        <v>1</v>
      </c>
      <c r="AC15" s="437">
        <v>1</v>
      </c>
    </row>
    <row r="16" spans="2:29" x14ac:dyDescent="0.25">
      <c r="AA16" s="437"/>
      <c r="AB16" s="437"/>
      <c r="AC16" s="437"/>
    </row>
    <row r="17" spans="2:29" ht="18.75" x14ac:dyDescent="0.3">
      <c r="B17" s="130" t="s">
        <v>1098</v>
      </c>
      <c r="C17" s="79"/>
      <c r="D17" s="79"/>
      <c r="E17" s="79"/>
      <c r="F17" s="80"/>
      <c r="AA17" s="437"/>
      <c r="AB17" s="437"/>
      <c r="AC17" s="437"/>
    </row>
    <row r="18" spans="2:29" ht="18.75" x14ac:dyDescent="0.3">
      <c r="B18" s="130" t="s">
        <v>992</v>
      </c>
      <c r="C18" s="79"/>
      <c r="D18" s="79"/>
      <c r="E18" s="79"/>
      <c r="F18" s="80"/>
      <c r="AA18" s="437"/>
      <c r="AB18" s="437"/>
      <c r="AC18" s="437"/>
    </row>
    <row r="19" spans="2:29" ht="18.75" x14ac:dyDescent="0.3">
      <c r="B19" s="130" t="s">
        <v>993</v>
      </c>
      <c r="C19" s="131"/>
      <c r="D19" s="79"/>
      <c r="E19" s="79"/>
      <c r="F19" s="80"/>
      <c r="AA19" s="437"/>
      <c r="AB19" s="437"/>
      <c r="AC19" s="437"/>
    </row>
    <row r="20" spans="2:29" ht="37.5" x14ac:dyDescent="0.25">
      <c r="B20" s="307" t="s">
        <v>253</v>
      </c>
      <c r="C20" s="333" t="s">
        <v>820</v>
      </c>
      <c r="D20" s="307" t="s">
        <v>256</v>
      </c>
      <c r="E20" s="307" t="s">
        <v>123</v>
      </c>
      <c r="F20" s="80"/>
      <c r="AA20" s="437"/>
      <c r="AB20" s="437"/>
      <c r="AC20" s="437"/>
    </row>
    <row r="21" spans="2:29" ht="19.5" thickBot="1" x14ac:dyDescent="0.35">
      <c r="B21" s="330">
        <v>2.0299999999999999E-2</v>
      </c>
      <c r="C21" s="69"/>
      <c r="D21" s="334" t="str">
        <f t="shared" ref="D21:D30" si="1">IF(E21="Rigtig",AB21,IF(C21="","","Forkert"))</f>
        <v/>
      </c>
      <c r="E21" s="265" t="str">
        <f>IF(C21="","",IF(B21=C21,"Rigtig","Forkert"))</f>
        <v/>
      </c>
      <c r="F21" s="80"/>
      <c r="AA21" s="437"/>
      <c r="AB21" s="437" t="s">
        <v>683</v>
      </c>
      <c r="AC21" s="437"/>
    </row>
    <row r="22" spans="2:29" ht="19.5" thickBot="1" x14ac:dyDescent="0.35">
      <c r="B22" s="330">
        <v>7842</v>
      </c>
      <c r="C22" s="70"/>
      <c r="D22" s="334" t="str">
        <f t="shared" si="1"/>
        <v/>
      </c>
      <c r="E22" s="265" t="str">
        <f t="shared" ref="E22:E29" si="2">IF(C22="","",IF(B22=C22,"Rigtig","Forkert"))</f>
        <v/>
      </c>
      <c r="F22" s="80"/>
      <c r="AA22" s="437"/>
      <c r="AB22" s="437" t="s">
        <v>684</v>
      </c>
      <c r="AC22" s="437"/>
    </row>
    <row r="23" spans="2:29" ht="18" customHeight="1" thickBot="1" x14ac:dyDescent="0.35">
      <c r="B23" s="330">
        <v>0.04</v>
      </c>
      <c r="C23" s="71"/>
      <c r="D23" s="334" t="str">
        <f t="shared" si="1"/>
        <v/>
      </c>
      <c r="E23" s="265" t="str">
        <f t="shared" si="2"/>
        <v/>
      </c>
      <c r="F23" s="80"/>
      <c r="AA23" s="437"/>
      <c r="AB23" s="437" t="s">
        <v>685</v>
      </c>
      <c r="AC23" s="437"/>
    </row>
    <row r="24" spans="2:29" ht="19.5" thickBot="1" x14ac:dyDescent="0.35">
      <c r="B24" s="330">
        <v>400</v>
      </c>
      <c r="C24" s="69"/>
      <c r="D24" s="334" t="str">
        <f t="shared" si="1"/>
        <v/>
      </c>
      <c r="E24" s="265" t="str">
        <f t="shared" si="2"/>
        <v/>
      </c>
      <c r="F24" s="80"/>
      <c r="AA24" s="437"/>
      <c r="AB24" s="437" t="s">
        <v>686</v>
      </c>
      <c r="AC24" s="437"/>
    </row>
    <row r="25" spans="2:29" ht="19.5" thickBot="1" x14ac:dyDescent="0.35">
      <c r="B25" s="335">
        <v>4021</v>
      </c>
      <c r="C25" s="70"/>
      <c r="D25" s="334" t="str">
        <f t="shared" si="1"/>
        <v/>
      </c>
      <c r="E25" s="265" t="str">
        <f t="shared" si="2"/>
        <v/>
      </c>
      <c r="F25" s="80"/>
      <c r="AA25" s="437"/>
      <c r="AB25" s="437" t="s">
        <v>689</v>
      </c>
      <c r="AC25" s="437"/>
    </row>
    <row r="26" spans="2:29" ht="19.5" thickBot="1" x14ac:dyDescent="0.35">
      <c r="B26" s="330">
        <v>402000</v>
      </c>
      <c r="C26" s="76"/>
      <c r="D26" s="334" t="str">
        <f t="shared" si="1"/>
        <v/>
      </c>
      <c r="E26" s="265" t="str">
        <f t="shared" si="2"/>
        <v/>
      </c>
      <c r="F26" s="80"/>
      <c r="AA26" s="437"/>
      <c r="AB26" s="437" t="s">
        <v>690</v>
      </c>
      <c r="AC26" s="437"/>
    </row>
    <row r="27" spans="2:29" ht="19.5" thickBot="1" x14ac:dyDescent="0.35">
      <c r="B27" s="330">
        <v>1.42</v>
      </c>
      <c r="C27" s="69"/>
      <c r="D27" s="334" t="str">
        <f t="shared" si="1"/>
        <v/>
      </c>
      <c r="E27" s="265" t="str">
        <f t="shared" si="2"/>
        <v/>
      </c>
      <c r="F27" s="80"/>
      <c r="AA27" s="437"/>
      <c r="AB27" s="437">
        <v>1.42</v>
      </c>
      <c r="AC27" s="437"/>
    </row>
    <row r="28" spans="2:29" ht="19.5" thickBot="1" x14ac:dyDescent="0.35">
      <c r="B28" s="335">
        <v>12000</v>
      </c>
      <c r="C28" s="72"/>
      <c r="D28" s="334" t="str">
        <f t="shared" si="1"/>
        <v/>
      </c>
      <c r="E28" s="265" t="str">
        <f t="shared" si="2"/>
        <v/>
      </c>
      <c r="F28" s="80"/>
      <c r="AA28" s="437"/>
      <c r="AB28" s="443" t="s">
        <v>688</v>
      </c>
      <c r="AC28" s="437"/>
    </row>
    <row r="29" spans="2:29" ht="19.5" thickBot="1" x14ac:dyDescent="0.35">
      <c r="B29" s="330">
        <v>0.4</v>
      </c>
      <c r="C29" s="71"/>
      <c r="D29" s="334" t="str">
        <f t="shared" si="1"/>
        <v/>
      </c>
      <c r="E29" s="265" t="str">
        <f t="shared" si="2"/>
        <v/>
      </c>
      <c r="F29" s="80"/>
      <c r="AA29" s="437"/>
      <c r="AB29" s="437" t="s">
        <v>687</v>
      </c>
      <c r="AC29" s="437"/>
    </row>
    <row r="30" spans="2:29" ht="19.5" thickBot="1" x14ac:dyDescent="0.35">
      <c r="B30" s="330" t="s">
        <v>691</v>
      </c>
      <c r="C30" s="75"/>
      <c r="D30" s="334" t="str">
        <f t="shared" si="1"/>
        <v/>
      </c>
      <c r="E30" s="265" t="str">
        <f>IF(C30="","",IF(C30=6400000,"Rigtig","Forkert"))</f>
        <v/>
      </c>
      <c r="F30" s="80"/>
      <c r="AA30" s="437"/>
      <c r="AB30" s="437" t="s">
        <v>692</v>
      </c>
      <c r="AC30" s="437"/>
    </row>
    <row r="31" spans="2:29" x14ac:dyDescent="0.25">
      <c r="B31" s="78"/>
      <c r="C31" s="79"/>
      <c r="D31" s="79"/>
      <c r="E31" s="79"/>
      <c r="F31" s="80"/>
      <c r="AA31" s="437"/>
      <c r="AB31" s="437"/>
      <c r="AC31" s="437"/>
    </row>
    <row r="32" spans="2:29" ht="61.5" customHeight="1" x14ac:dyDescent="0.35">
      <c r="B32" s="481" t="str" cm="1">
        <f t="array" ref="B32">IF(AND(E21:E30="Rigtig"),"Flot! - Bemærk dog at videnskabelig notation oftest anvendes ved høje værdier (større end 1000) eller ved små værdier (mindre end 0,01). Det er fx skørt, at skrive sin alder som 1,7∙10¹","")</f>
        <v/>
      </c>
      <c r="C32" s="482"/>
      <c r="D32" s="482"/>
      <c r="E32" s="482"/>
      <c r="F32" s="86"/>
      <c r="AA32" s="437"/>
      <c r="AB32" s="437"/>
      <c r="AC32" s="437"/>
    </row>
    <row r="33" spans="2:29" x14ac:dyDescent="0.25">
      <c r="B33" t="s">
        <v>1046</v>
      </c>
      <c r="AA33" s="437"/>
      <c r="AB33" s="437"/>
      <c r="AC33" s="437"/>
    </row>
  </sheetData>
  <sheetProtection algorithmName="SHA-512" hashValue="mCNGBXJiGn1tQEQyUVUGhZQ5+DVZ/ZX2PF9rh0QsOabUXrMBZQn6KUarcypoi3U48IZZjABSAFeUbYJXJVJlDg==" saltValue="7npbWCy2wC2W4bRWQ0XkdQ==" spinCount="100000" sheet="1" objects="1" scenarios="1" formatColumns="0" formatRows="0"/>
  <mergeCells count="2">
    <mergeCell ref="B32:E32"/>
    <mergeCell ref="B4:E4"/>
  </mergeCells>
  <conditionalFormatting sqref="E7:E15">
    <cfRule type="containsText" dxfId="380" priority="5" operator="containsText" text="Rigtig">
      <formula>NOT(ISERROR(SEARCH("Rigtig",E7)))</formula>
    </cfRule>
    <cfRule type="containsText" dxfId="379" priority="6" operator="containsText" text="Forkert">
      <formula>NOT(ISERROR(SEARCH("Forkert",E7)))</formula>
    </cfRule>
  </conditionalFormatting>
  <conditionalFormatting sqref="E21:E30">
    <cfRule type="containsText" dxfId="378" priority="1" operator="containsText" text="Rigtig">
      <formula>NOT(ISERROR(SEARCH("Rigtig",E21)))</formula>
    </cfRule>
    <cfRule type="containsText" dxfId="377" priority="2" operator="containsText" text="Forkert">
      <formula>NOT(ISERROR(SEARCH("Forkert",E21)))</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BE62F-82D8-4F86-8B42-4EBDEEAF32E9}">
  <sheetPr codeName="Sheet9">
    <tabColor theme="6" tint="0.39997558519241921"/>
  </sheetPr>
  <dimension ref="B1:AK103"/>
  <sheetViews>
    <sheetView showGridLines="0" zoomScale="250" zoomScaleNormal="250" workbookViewId="0"/>
  </sheetViews>
  <sheetFormatPr defaultColWidth="9.140625" defaultRowHeight="15" x14ac:dyDescent="0.25"/>
  <cols>
    <col min="1" max="1" width="9.140625" style="3"/>
    <col min="2" max="2" width="25.28515625" customWidth="1"/>
    <col min="3" max="3" width="4.7109375" customWidth="1"/>
    <col min="4" max="4" width="14.42578125" customWidth="1"/>
    <col min="5" max="5" width="4.85546875" customWidth="1"/>
    <col min="6" max="6" width="15.28515625" customWidth="1"/>
    <col min="7" max="7" width="4.7109375" customWidth="1"/>
    <col min="8" max="8" width="5" customWidth="1"/>
    <col min="9" max="9" width="14.42578125" customWidth="1"/>
    <col min="10" max="10" width="5.42578125" customWidth="1"/>
    <col min="11" max="11" width="13" customWidth="1"/>
    <col min="12" max="12" width="14.85546875" customWidth="1"/>
    <col min="13" max="13" width="9.140625" style="3"/>
    <col min="14" max="14" width="9.140625" style="11"/>
    <col min="26" max="26" width="9.140625" style="3"/>
    <col min="27" max="27" width="11.42578125" style="11" customWidth="1"/>
    <col min="28" max="28" width="10.140625" bestFit="1" customWidth="1"/>
    <col min="37" max="16384" width="9.140625" style="3"/>
  </cols>
  <sheetData>
    <row r="1" spans="2:37" x14ac:dyDescent="0.25">
      <c r="AA1" s="437"/>
      <c r="AB1" s="437"/>
      <c r="AC1" s="437"/>
      <c r="AD1" s="437"/>
      <c r="AE1" s="437"/>
      <c r="AF1" s="437"/>
      <c r="AG1" s="437"/>
      <c r="AH1" s="437"/>
      <c r="AI1" s="437"/>
      <c r="AJ1" s="437"/>
      <c r="AK1" s="437"/>
    </row>
    <row r="2" spans="2:37" ht="38.25" customHeight="1" thickBot="1" x14ac:dyDescent="0.4">
      <c r="B2" s="237" t="s">
        <v>51</v>
      </c>
      <c r="C2" s="127"/>
      <c r="D2" s="127"/>
      <c r="E2" s="127"/>
      <c r="F2" s="127"/>
      <c r="G2" s="127"/>
      <c r="H2" s="127"/>
      <c r="I2" s="127"/>
      <c r="J2" s="127"/>
      <c r="K2" s="127"/>
      <c r="L2" s="128"/>
      <c r="AA2" s="437"/>
      <c r="AB2" s="437"/>
      <c r="AC2" s="437"/>
      <c r="AD2" s="437"/>
      <c r="AE2" s="437"/>
      <c r="AF2" s="437"/>
      <c r="AG2" s="437"/>
      <c r="AH2" s="437"/>
      <c r="AI2" s="437"/>
      <c r="AJ2" s="437"/>
      <c r="AK2" s="437"/>
    </row>
    <row r="3" spans="2:37" customFormat="1" x14ac:dyDescent="0.25">
      <c r="B3" s="81" t="s">
        <v>0</v>
      </c>
      <c r="C3" s="79"/>
      <c r="D3" s="82" t="s">
        <v>1</v>
      </c>
      <c r="E3" s="79"/>
      <c r="F3" s="468" t="s">
        <v>978</v>
      </c>
      <c r="G3" s="79"/>
      <c r="H3" s="79"/>
      <c r="I3" s="79" t="s">
        <v>908</v>
      </c>
      <c r="J3" s="79"/>
      <c r="L3" s="80"/>
      <c r="N3" s="133"/>
      <c r="AA3" s="440"/>
      <c r="AB3" s="440"/>
      <c r="AC3" s="440"/>
      <c r="AD3" s="437"/>
      <c r="AE3" s="437"/>
      <c r="AF3" s="437"/>
      <c r="AG3" s="437"/>
      <c r="AH3" s="437"/>
      <c r="AI3" s="437"/>
      <c r="AJ3" s="437"/>
      <c r="AK3" s="437"/>
    </row>
    <row r="4" spans="2:37" customFormat="1" ht="18.75" customHeight="1" x14ac:dyDescent="0.35">
      <c r="B4" s="149"/>
      <c r="C4" s="150"/>
      <c r="D4" s="150"/>
      <c r="E4" s="150"/>
      <c r="F4" s="151"/>
      <c r="G4" s="150"/>
      <c r="H4" s="150"/>
      <c r="I4" s="150"/>
      <c r="J4" s="152"/>
      <c r="K4" s="152"/>
      <c r="L4" s="148"/>
      <c r="M4" s="2"/>
      <c r="N4" s="134"/>
      <c r="AA4" s="444"/>
      <c r="AB4" s="444"/>
      <c r="AC4" s="444"/>
      <c r="AD4" s="437"/>
      <c r="AE4" s="437"/>
      <c r="AF4" s="437"/>
      <c r="AG4" s="437"/>
      <c r="AH4" s="437"/>
      <c r="AI4" s="437"/>
      <c r="AJ4" s="437"/>
      <c r="AK4" s="437"/>
    </row>
    <row r="5" spans="2:37" customFormat="1" ht="30" customHeight="1" x14ac:dyDescent="0.35">
      <c r="B5" s="382" t="s">
        <v>717</v>
      </c>
      <c r="C5" s="156"/>
      <c r="D5" s="156"/>
      <c r="E5" s="156"/>
      <c r="F5" s="156"/>
      <c r="G5" s="156"/>
      <c r="H5" s="156"/>
      <c r="I5" s="156"/>
      <c r="J5" s="156"/>
      <c r="K5" s="156"/>
      <c r="L5" s="157"/>
      <c r="M5" s="2"/>
      <c r="N5" s="134"/>
      <c r="AA5" s="444"/>
      <c r="AB5" s="444"/>
      <c r="AC5" s="444"/>
      <c r="AD5" s="437"/>
      <c r="AE5" s="437"/>
      <c r="AF5" s="437"/>
      <c r="AG5" s="437"/>
      <c r="AH5" s="437"/>
      <c r="AI5" s="437"/>
      <c r="AJ5" s="437"/>
      <c r="AK5" s="437"/>
    </row>
    <row r="6" spans="2:37" customFormat="1" ht="39" customHeight="1" x14ac:dyDescent="0.35">
      <c r="B6" s="485" t="s">
        <v>716</v>
      </c>
      <c r="C6" s="486"/>
      <c r="D6" s="486"/>
      <c r="E6" s="486"/>
      <c r="F6" s="486"/>
      <c r="G6" s="486"/>
      <c r="H6" s="486"/>
      <c r="I6" s="486"/>
      <c r="J6" s="486"/>
      <c r="K6" s="486"/>
      <c r="L6" s="487"/>
      <c r="M6" s="2"/>
      <c r="N6" s="134"/>
      <c r="AA6" s="444"/>
      <c r="AB6" s="444"/>
      <c r="AC6" s="444"/>
      <c r="AD6" s="437"/>
      <c r="AE6" s="437"/>
      <c r="AF6" s="437"/>
      <c r="AG6" s="437"/>
      <c r="AH6" s="437"/>
      <c r="AI6" s="437"/>
      <c r="AJ6" s="437"/>
      <c r="AK6" s="437"/>
    </row>
    <row r="7" spans="2:37" customFormat="1" ht="18.75" customHeight="1" x14ac:dyDescent="0.35">
      <c r="B7" s="485" t="s">
        <v>1094</v>
      </c>
      <c r="C7" s="486"/>
      <c r="D7" s="486"/>
      <c r="E7" s="486"/>
      <c r="F7" s="486"/>
      <c r="G7" s="486"/>
      <c r="H7" s="486"/>
      <c r="I7" s="486"/>
      <c r="J7" s="486"/>
      <c r="K7" s="486"/>
      <c r="L7" s="487"/>
      <c r="M7" s="2"/>
      <c r="N7" s="134"/>
      <c r="AA7" s="444"/>
      <c r="AB7" s="444"/>
      <c r="AC7" s="444"/>
      <c r="AD7" s="437"/>
      <c r="AE7" s="437"/>
      <c r="AF7" s="437"/>
      <c r="AG7" s="437"/>
      <c r="AH7" s="437"/>
      <c r="AI7" s="437"/>
      <c r="AJ7" s="437"/>
      <c r="AK7" s="437"/>
    </row>
    <row r="8" spans="2:37" customFormat="1" ht="18.75" customHeight="1" x14ac:dyDescent="0.35">
      <c r="B8" s="385" t="str">
        <f t="shared" ref="B8:K8" si="0">IFERROR(IF($AK9="ja","R",""),"")</f>
        <v/>
      </c>
      <c r="C8" s="136" t="str">
        <f t="shared" si="0"/>
        <v/>
      </c>
      <c r="D8" s="136" t="str">
        <f t="shared" si="0"/>
        <v/>
      </c>
      <c r="E8" s="136" t="str">
        <f t="shared" si="0"/>
        <v/>
      </c>
      <c r="F8" s="136" t="str">
        <f t="shared" si="0"/>
        <v/>
      </c>
      <c r="G8" s="136" t="str">
        <f t="shared" si="0"/>
        <v/>
      </c>
      <c r="H8" s="136" t="str">
        <f t="shared" si="0"/>
        <v/>
      </c>
      <c r="I8" s="136" t="str">
        <f t="shared" si="0"/>
        <v/>
      </c>
      <c r="J8" s="136" t="str">
        <f t="shared" si="0"/>
        <v/>
      </c>
      <c r="K8" s="136" t="str">
        <f t="shared" si="0"/>
        <v/>
      </c>
      <c r="L8" s="132"/>
      <c r="M8" s="2"/>
      <c r="N8" s="134"/>
      <c r="AA8" s="444"/>
      <c r="AB8" s="444"/>
      <c r="AC8" s="444"/>
      <c r="AD8" s="437"/>
      <c r="AE8" s="437"/>
      <c r="AF8" s="437"/>
      <c r="AG8" s="437"/>
      <c r="AH8" s="437"/>
      <c r="AI8" s="437"/>
      <c r="AJ8" s="437"/>
      <c r="AK8" s="437" t="s">
        <v>714</v>
      </c>
    </row>
    <row r="9" spans="2:37" customFormat="1" ht="18.75" customHeight="1" x14ac:dyDescent="0.35">
      <c r="B9" s="238" t="s">
        <v>708</v>
      </c>
      <c r="C9" s="239" t="str">
        <f>IF(C14="R",IF(D14&lt;&gt;1,D14,""),"")&amp;" "&amp;AB9&amp;"    +"</f>
        <v xml:space="preserve"> PO₄³⁻    +</v>
      </c>
      <c r="D9" s="240"/>
      <c r="E9" s="239" t="str">
        <f>IF(E14="R",IF(F14&lt;&gt;1,F14,""),"")&amp;" "&amp;AD9</f>
        <v xml:space="preserve"> Fe²⁺</v>
      </c>
      <c r="F9" s="240"/>
      <c r="G9" s="245" t="s">
        <v>48</v>
      </c>
      <c r="H9" s="239" t="str">
        <f>IF(H14="R",IF(I14&lt;&gt;1,I14,""),"")&amp;" "&amp;AG9</f>
        <v xml:space="preserve"> Fe₃(PO₄)₂</v>
      </c>
      <c r="I9" s="239"/>
      <c r="J9" s="136" t="str">
        <f t="shared" ref="J9:K16" si="1">IFERROR(IF($AK10="ja","R",""),"")</f>
        <v/>
      </c>
      <c r="K9" s="136" t="str">
        <f t="shared" si="1"/>
        <v/>
      </c>
      <c r="L9" s="135"/>
      <c r="M9" s="2"/>
      <c r="N9" s="134"/>
      <c r="AA9" s="437"/>
      <c r="AB9" s="445" t="s">
        <v>161</v>
      </c>
      <c r="AC9" s="445"/>
      <c r="AD9" s="445" t="s">
        <v>260</v>
      </c>
      <c r="AE9" s="445" t="s">
        <v>48</v>
      </c>
      <c r="AF9" s="445"/>
      <c r="AG9" s="445" t="s">
        <v>707</v>
      </c>
      <c r="AH9" s="437"/>
      <c r="AI9" s="437"/>
      <c r="AJ9" s="437"/>
      <c r="AK9" s="437" t="str" cm="1">
        <f t="array" ref="AK9">IFERROR(IF(AND(C12:C14="R",E11:E14="R",H11:H14="R"),"ja","nej"),"nej")</f>
        <v>nej</v>
      </c>
    </row>
    <row r="10" spans="2:37" customFormat="1" ht="12.75" customHeight="1" x14ac:dyDescent="0.35">
      <c r="B10" s="241" t="s">
        <v>283</v>
      </c>
      <c r="C10" s="242" t="str">
        <f>AB10</f>
        <v>Phosphat</v>
      </c>
      <c r="D10" s="243"/>
      <c r="E10" s="242" t="str">
        <f>AD10</f>
        <v>Jern(II)ion</v>
      </c>
      <c r="F10" s="243"/>
      <c r="G10" s="136" t="str">
        <f t="shared" ref="G10:G16" si="2">IFERROR(IF($AK11="ja","R",""),"")</f>
        <v/>
      </c>
      <c r="H10" s="246" t="str">
        <f>AG10</f>
        <v>Jern(II)phosphat</v>
      </c>
      <c r="I10" s="243"/>
      <c r="J10" s="136" t="str">
        <f t="shared" si="1"/>
        <v/>
      </c>
      <c r="K10" s="136" t="str">
        <f t="shared" si="1"/>
        <v/>
      </c>
      <c r="L10" s="135"/>
      <c r="M10" s="2"/>
      <c r="N10" s="134"/>
      <c r="AA10" s="437"/>
      <c r="AB10" s="437" t="s">
        <v>705</v>
      </c>
      <c r="AC10" s="437"/>
      <c r="AD10" s="437" t="s">
        <v>706</v>
      </c>
      <c r="AE10" s="437"/>
      <c r="AF10" s="437"/>
      <c r="AG10" s="437" t="s">
        <v>711</v>
      </c>
      <c r="AH10" s="437"/>
      <c r="AI10" s="437"/>
      <c r="AJ10" s="437"/>
      <c r="AK10" s="437" t="str">
        <f>IF(AK9="ja","ja","nej")</f>
        <v>nej</v>
      </c>
    </row>
    <row r="11" spans="2:37" customFormat="1" ht="18.75" customHeight="1" x14ac:dyDescent="0.35">
      <c r="B11" s="244" t="s">
        <v>46</v>
      </c>
      <c r="C11" s="248"/>
      <c r="D11" s="249">
        <f>AB11</f>
        <v>1000</v>
      </c>
      <c r="E11" s="230" t="str">
        <f>IF(F11="","",IF(ABS(AD11-F11)/AD11&gt;0.02,"F","R"))</f>
        <v/>
      </c>
      <c r="F11" s="145"/>
      <c r="G11" s="136" t="str">
        <f t="shared" si="2"/>
        <v/>
      </c>
      <c r="H11" s="230" t="str">
        <f>IF(I11="","",IF(ABS(AG11-I11)/AG11&gt;0.02,"F","R"))</f>
        <v/>
      </c>
      <c r="I11" s="144"/>
      <c r="J11" s="136" t="str">
        <f t="shared" si="1"/>
        <v/>
      </c>
      <c r="K11" s="136" t="str">
        <f t="shared" si="1"/>
        <v/>
      </c>
      <c r="L11" s="135"/>
      <c r="M11" s="2"/>
      <c r="AA11" s="437" t="s">
        <v>6</v>
      </c>
      <c r="AB11" s="446">
        <v>1000</v>
      </c>
      <c r="AC11" s="446"/>
      <c r="AD11" s="446">
        <f>AD12*AD13</f>
        <v>882.02869495448101</v>
      </c>
      <c r="AE11" s="446"/>
      <c r="AF11" s="437"/>
      <c r="AG11" s="446">
        <f>AG13*AG12</f>
        <v>1882.0297479030528</v>
      </c>
      <c r="AH11" s="437"/>
      <c r="AI11" s="437"/>
      <c r="AJ11" s="437"/>
      <c r="AK11" s="437" t="str">
        <f t="shared" ref="AK11:AK17" si="3">IF(AK10="ja","ja","nej")</f>
        <v>nej</v>
      </c>
    </row>
    <row r="12" spans="2:37" customFormat="1" ht="18.75" customHeight="1" x14ac:dyDescent="0.35">
      <c r="B12" s="244" t="s">
        <v>45</v>
      </c>
      <c r="C12" s="230" t="str">
        <f>IF(D12="","",IF(ABS(AB12-D12)/AB12&gt;0.02,"F","R"))</f>
        <v/>
      </c>
      <c r="D12" s="141"/>
      <c r="E12" s="230" t="str">
        <f>IF(F12="","",IF(ABS(AD12-F12)/AD12&gt;0.02,"F","R"))</f>
        <v/>
      </c>
      <c r="F12" s="141"/>
      <c r="G12" s="136" t="str">
        <f t="shared" si="2"/>
        <v/>
      </c>
      <c r="H12" s="230" t="str">
        <f>IF(I12="","",IF(ABS(AG12-I12)/AG12&gt;0.02,"F","R"))</f>
        <v/>
      </c>
      <c r="I12" s="141"/>
      <c r="J12" s="136" t="str">
        <f t="shared" si="1"/>
        <v/>
      </c>
      <c r="K12" s="136" t="str">
        <f t="shared" si="1"/>
        <v/>
      </c>
      <c r="L12" s="135"/>
      <c r="M12" s="2"/>
      <c r="AA12" s="437" t="s">
        <v>7</v>
      </c>
      <c r="AB12" s="446">
        <v>94.971400000000003</v>
      </c>
      <c r="AC12" s="446"/>
      <c r="AD12" s="446">
        <v>55.844999999999999</v>
      </c>
      <c r="AE12" s="446"/>
      <c r="AF12" s="437"/>
      <c r="AG12" s="446">
        <v>357.47800000000001</v>
      </c>
      <c r="AH12" s="437"/>
      <c r="AI12" s="437"/>
      <c r="AJ12" s="437"/>
      <c r="AK12" s="437" t="str">
        <f t="shared" si="3"/>
        <v>nej</v>
      </c>
    </row>
    <row r="13" spans="2:37" customFormat="1" ht="18.75" customHeight="1" x14ac:dyDescent="0.35">
      <c r="B13" s="244" t="s">
        <v>47</v>
      </c>
      <c r="C13" s="230" t="str">
        <f>IF(D13="","",IF(ABS(AB13-D13)/AB13&gt;0.02,"F","R"))</f>
        <v/>
      </c>
      <c r="D13" s="140"/>
      <c r="E13" s="230" t="str">
        <f>IF(F13="","",IF(ABS(AD13-F13)/AD13&gt;0.02,"F","R"))</f>
        <v/>
      </c>
      <c r="F13" s="140"/>
      <c r="G13" s="136" t="str">
        <f t="shared" si="2"/>
        <v/>
      </c>
      <c r="H13" s="230" t="str">
        <f>IF(I13="","",IF(ABS(AG13-I13)/AG13&gt;0.02,"F","R"))</f>
        <v/>
      </c>
      <c r="I13" s="146"/>
      <c r="J13" s="136" t="str">
        <f t="shared" si="1"/>
        <v/>
      </c>
      <c r="K13" s="136" t="str">
        <f t="shared" si="1"/>
        <v/>
      </c>
      <c r="L13" s="135"/>
      <c r="M13" s="2"/>
      <c r="AA13" s="437" t="s">
        <v>8</v>
      </c>
      <c r="AB13" s="446">
        <f>AB11/AB12</f>
        <v>10.529485718858519</v>
      </c>
      <c r="AC13" s="446"/>
      <c r="AD13" s="446">
        <f>AB13*AD14/AB14</f>
        <v>15.794228578287779</v>
      </c>
      <c r="AE13" s="446"/>
      <c r="AF13" s="437"/>
      <c r="AG13" s="446">
        <f>AD13*AG14/AD14</f>
        <v>5.2647428594292593</v>
      </c>
      <c r="AH13" s="437"/>
      <c r="AI13" s="437"/>
      <c r="AJ13" s="437"/>
      <c r="AK13" s="437" t="str">
        <f t="shared" si="3"/>
        <v>nej</v>
      </c>
    </row>
    <row r="14" spans="2:37" customFormat="1" ht="18.75" customHeight="1" x14ac:dyDescent="0.35">
      <c r="B14" s="244" t="s">
        <v>90</v>
      </c>
      <c r="C14" s="230" t="str">
        <f>IF(D14="","",IF(D14=AB14,"R","F"))</f>
        <v/>
      </c>
      <c r="D14" s="13"/>
      <c r="E14" s="230" t="str">
        <f>IF(F14="","",IF(ABS(AD14-F14)/AD14&gt;0.02,"F","R"))</f>
        <v/>
      </c>
      <c r="F14" s="12"/>
      <c r="G14" s="136" t="str">
        <f t="shared" si="2"/>
        <v/>
      </c>
      <c r="H14" s="230" t="str">
        <f>IF(I14="","",IF(ABS(AG14-I14)/AG14&gt;0.02,"F","R"))</f>
        <v/>
      </c>
      <c r="I14" s="12"/>
      <c r="J14" s="136" t="str">
        <f t="shared" si="1"/>
        <v/>
      </c>
      <c r="K14" s="136" t="str">
        <f t="shared" si="1"/>
        <v/>
      </c>
      <c r="L14" s="135"/>
      <c r="M14" s="2"/>
      <c r="AA14" s="437" t="s">
        <v>9</v>
      </c>
      <c r="AB14" s="446">
        <v>2</v>
      </c>
      <c r="AC14" s="446"/>
      <c r="AD14" s="446">
        <v>3</v>
      </c>
      <c r="AE14" s="446"/>
      <c r="AF14" s="437"/>
      <c r="AG14" s="446">
        <v>1</v>
      </c>
      <c r="AH14" s="437"/>
      <c r="AI14" s="437"/>
      <c r="AJ14" s="437"/>
      <c r="AK14" s="437" t="str">
        <f t="shared" si="3"/>
        <v>nej</v>
      </c>
    </row>
    <row r="15" spans="2:37" customFormat="1" ht="18.75" customHeight="1" x14ac:dyDescent="0.35">
      <c r="B15" s="383" t="str">
        <f t="shared" ref="B15:F16" si="4">IFERROR(IF($AK16="ja","R",""),"")</f>
        <v/>
      </c>
      <c r="C15" s="136" t="str">
        <f t="shared" si="4"/>
        <v/>
      </c>
      <c r="D15" s="136" t="str">
        <f t="shared" si="4"/>
        <v/>
      </c>
      <c r="E15" s="136" t="str">
        <f t="shared" si="4"/>
        <v/>
      </c>
      <c r="F15" s="136" t="str">
        <f t="shared" si="4"/>
        <v/>
      </c>
      <c r="G15" s="136" t="str">
        <f t="shared" si="2"/>
        <v/>
      </c>
      <c r="H15" s="136" t="str">
        <f>IFERROR(IF($AK16="ja","R",""),"")</f>
        <v/>
      </c>
      <c r="I15" s="136" t="str">
        <f>IFERROR(IF($AK16="ja","R",""),"")</f>
        <v/>
      </c>
      <c r="J15" s="136" t="str">
        <f t="shared" si="1"/>
        <v/>
      </c>
      <c r="K15" s="136" t="str">
        <f t="shared" si="1"/>
        <v/>
      </c>
      <c r="L15" s="135"/>
      <c r="M15" s="2"/>
      <c r="AA15" s="437"/>
      <c r="AB15" s="446"/>
      <c r="AC15" s="446"/>
      <c r="AD15" s="446"/>
      <c r="AE15" s="437"/>
      <c r="AF15" s="446"/>
      <c r="AG15" s="437"/>
      <c r="AH15" s="437"/>
      <c r="AI15" s="437"/>
      <c r="AJ15" s="437"/>
      <c r="AK15" s="437" t="str">
        <f t="shared" si="3"/>
        <v>nej</v>
      </c>
    </row>
    <row r="16" spans="2:37" customFormat="1" ht="18.75" customHeight="1" x14ac:dyDescent="0.35">
      <c r="B16" s="383" t="str">
        <f t="shared" si="4"/>
        <v/>
      </c>
      <c r="C16" s="136" t="str">
        <f t="shared" si="4"/>
        <v/>
      </c>
      <c r="D16" s="136" t="str">
        <f t="shared" si="4"/>
        <v/>
      </c>
      <c r="E16" s="136" t="str">
        <f t="shared" si="4"/>
        <v/>
      </c>
      <c r="F16" s="136" t="str">
        <f t="shared" si="4"/>
        <v/>
      </c>
      <c r="G16" s="136" t="str">
        <f t="shared" si="2"/>
        <v/>
      </c>
      <c r="H16" s="136" t="str">
        <f>IFERROR(IF($AK17="ja","R",""),"")</f>
        <v/>
      </c>
      <c r="I16" s="136" t="str">
        <f>IFERROR(IF($AK17="ja","R",""),"")</f>
        <v/>
      </c>
      <c r="J16" s="136" t="str">
        <f t="shared" si="1"/>
        <v/>
      </c>
      <c r="K16" s="136" t="str">
        <f t="shared" si="1"/>
        <v/>
      </c>
      <c r="L16" s="135"/>
      <c r="M16" s="2"/>
      <c r="AA16" s="437"/>
      <c r="AB16" s="446"/>
      <c r="AC16" s="446"/>
      <c r="AD16" s="446"/>
      <c r="AE16" s="437"/>
      <c r="AF16" s="446"/>
      <c r="AG16" s="437"/>
      <c r="AH16" s="437"/>
      <c r="AI16" s="437"/>
      <c r="AJ16" s="437"/>
      <c r="AK16" s="437" t="str">
        <f t="shared" si="3"/>
        <v>nej</v>
      </c>
    </row>
    <row r="17" spans="2:37" customFormat="1" ht="18.75" customHeight="1" x14ac:dyDescent="0.35">
      <c r="B17" s="384"/>
      <c r="C17" s="147"/>
      <c r="D17" s="147"/>
      <c r="E17" s="147"/>
      <c r="F17" s="147"/>
      <c r="G17" s="147"/>
      <c r="H17" s="147"/>
      <c r="I17" s="147"/>
      <c r="J17" s="147"/>
      <c r="K17" s="147"/>
      <c r="L17" s="148"/>
      <c r="M17" s="2"/>
      <c r="AA17" s="437"/>
      <c r="AB17" s="446"/>
      <c r="AC17" s="446"/>
      <c r="AD17" s="446"/>
      <c r="AE17" s="437"/>
      <c r="AF17" s="446"/>
      <c r="AG17" s="437"/>
      <c r="AH17" s="437"/>
      <c r="AI17" s="437"/>
      <c r="AJ17" s="437"/>
      <c r="AK17" s="437" t="str">
        <f t="shared" si="3"/>
        <v>nej</v>
      </c>
    </row>
    <row r="18" spans="2:37" customFormat="1" ht="31.5" x14ac:dyDescent="0.35">
      <c r="B18" s="382" t="s">
        <v>715</v>
      </c>
      <c r="C18" s="153"/>
      <c r="D18" s="153"/>
      <c r="E18" s="153"/>
      <c r="F18" s="153"/>
      <c r="G18" s="153"/>
      <c r="H18" s="153"/>
      <c r="I18" s="153"/>
      <c r="J18" s="154"/>
      <c r="K18" s="154"/>
      <c r="L18" s="155"/>
      <c r="M18" s="2"/>
      <c r="AA18" s="444"/>
      <c r="AB18" s="444"/>
      <c r="AC18" s="444"/>
      <c r="AD18" s="437"/>
      <c r="AE18" s="437"/>
      <c r="AF18" s="437"/>
      <c r="AG18" s="437"/>
      <c r="AH18" s="437"/>
      <c r="AI18" s="437"/>
      <c r="AJ18" s="437"/>
      <c r="AK18" s="437"/>
    </row>
    <row r="19" spans="2:37" ht="33" customHeight="1" x14ac:dyDescent="0.35">
      <c r="B19" s="488" t="s">
        <v>1004</v>
      </c>
      <c r="C19" s="489"/>
      <c r="D19" s="489"/>
      <c r="E19" s="489"/>
      <c r="F19" s="489"/>
      <c r="G19" s="489"/>
      <c r="H19" s="489"/>
      <c r="I19" s="489"/>
      <c r="J19" s="489"/>
      <c r="K19" s="489"/>
      <c r="L19" s="490"/>
      <c r="M19" s="2"/>
      <c r="AA19" s="444"/>
      <c r="AB19" s="444"/>
      <c r="AC19" s="444"/>
      <c r="AD19" s="437"/>
      <c r="AE19" s="437"/>
      <c r="AF19" s="437"/>
      <c r="AG19" s="437"/>
      <c r="AH19" s="437"/>
      <c r="AI19" s="437"/>
      <c r="AJ19" s="437"/>
      <c r="AK19" s="437"/>
    </row>
    <row r="20" spans="2:37" ht="21" x14ac:dyDescent="0.35">
      <c r="B20" s="488" t="s">
        <v>1095</v>
      </c>
      <c r="C20" s="489"/>
      <c r="D20" s="489"/>
      <c r="E20" s="489"/>
      <c r="F20" s="489"/>
      <c r="G20" s="489"/>
      <c r="H20" s="489"/>
      <c r="I20" s="489"/>
      <c r="J20" s="489"/>
      <c r="K20" s="489"/>
      <c r="L20" s="490"/>
      <c r="M20" s="2"/>
      <c r="AA20" s="444"/>
      <c r="AB20" s="444"/>
      <c r="AC20" s="444"/>
      <c r="AD20" s="437"/>
      <c r="AE20" s="437"/>
      <c r="AF20" s="437"/>
      <c r="AG20" s="437"/>
      <c r="AH20" s="437"/>
      <c r="AI20" s="437"/>
      <c r="AJ20" s="437"/>
      <c r="AK20" s="437"/>
    </row>
    <row r="21" spans="2:37" ht="21" x14ac:dyDescent="0.35">
      <c r="B21" s="383" t="str">
        <f t="shared" ref="B21:K21" si="5">IFERROR(IF($AK22="ja","R",""),"")</f>
        <v/>
      </c>
      <c r="C21" s="136" t="str">
        <f t="shared" si="5"/>
        <v/>
      </c>
      <c r="D21" s="136" t="str">
        <f t="shared" si="5"/>
        <v/>
      </c>
      <c r="E21" s="136" t="str">
        <f t="shared" si="5"/>
        <v/>
      </c>
      <c r="F21" s="136" t="str">
        <f t="shared" si="5"/>
        <v/>
      </c>
      <c r="G21" s="136" t="str">
        <f t="shared" si="5"/>
        <v/>
      </c>
      <c r="H21" s="136" t="str">
        <f t="shared" si="5"/>
        <v/>
      </c>
      <c r="I21" s="136" t="str">
        <f t="shared" si="5"/>
        <v/>
      </c>
      <c r="J21" s="136" t="str">
        <f t="shared" si="5"/>
        <v/>
      </c>
      <c r="K21" s="136" t="str">
        <f t="shared" si="5"/>
        <v/>
      </c>
      <c r="L21" s="132"/>
      <c r="M21" s="2"/>
      <c r="AA21" s="444"/>
      <c r="AB21" s="444"/>
      <c r="AC21" s="444"/>
      <c r="AD21" s="437"/>
      <c r="AE21" s="437"/>
      <c r="AF21" s="437"/>
      <c r="AG21" s="437"/>
      <c r="AH21" s="437"/>
      <c r="AI21" s="437"/>
      <c r="AJ21" s="437"/>
      <c r="AK21" s="437" t="s">
        <v>714</v>
      </c>
    </row>
    <row r="22" spans="2:37" ht="21" x14ac:dyDescent="0.35">
      <c r="B22" s="238" t="s">
        <v>737</v>
      </c>
      <c r="C22" s="239" t="str">
        <f>IF(C27="R",IF(D27&lt;&gt;1,D27,""),"")&amp;" "&amp;AB22&amp;"    +"</f>
        <v xml:space="preserve"> Br₂    +</v>
      </c>
      <c r="D22" s="240"/>
      <c r="E22" s="239" t="str">
        <f>IF(E27="R",IF(F27&lt;&gt;1,F27,""),"")&amp;" "&amp;AD22</f>
        <v xml:space="preserve"> C₆H₁₄</v>
      </c>
      <c r="F22" s="240"/>
      <c r="G22" s="245" t="s">
        <v>48</v>
      </c>
      <c r="H22" s="239" t="str">
        <f>IF(C27="R",IF(I27&lt;&gt;1,I27,""),"")&amp;" "&amp;AG22&amp;"    +"</f>
        <v xml:space="preserve"> C₆H₁₃Br    +</v>
      </c>
      <c r="I22" s="240"/>
      <c r="J22" s="239" t="str">
        <f>IF(J27="R",IF(K27&lt;&gt;1,K27,""),"")&amp;" "&amp;AI22</f>
        <v xml:space="preserve"> HBr</v>
      </c>
      <c r="K22" s="239"/>
      <c r="L22" s="135"/>
      <c r="M22" s="2"/>
      <c r="AA22" s="444"/>
      <c r="AB22" s="445" t="s">
        <v>204</v>
      </c>
      <c r="AC22" s="445"/>
      <c r="AD22" s="445" t="s">
        <v>30</v>
      </c>
      <c r="AE22" s="445" t="s">
        <v>48</v>
      </c>
      <c r="AF22" s="445"/>
      <c r="AG22" s="445" t="s">
        <v>709</v>
      </c>
      <c r="AH22" s="437"/>
      <c r="AI22" s="437" t="s">
        <v>203</v>
      </c>
      <c r="AJ22" s="437"/>
      <c r="AK22" s="437" t="str" cm="1">
        <f t="array" ref="AK22">IFERROR(IF(AND(C25:C27="R",E24:E27="R",H24:H27="R",J24:J27="R"),"ja","nej"),"nej")</f>
        <v>nej</v>
      </c>
    </row>
    <row r="23" spans="2:37" ht="21" x14ac:dyDescent="0.35">
      <c r="B23" s="241" t="s">
        <v>283</v>
      </c>
      <c r="C23" s="242" t="str">
        <f>AB23</f>
        <v>Dibrom</v>
      </c>
      <c r="D23" s="243"/>
      <c r="E23" s="242" t="str">
        <f>AD23</f>
        <v>Hexan</v>
      </c>
      <c r="F23" s="243"/>
      <c r="G23" s="136" t="str">
        <f t="shared" ref="G23:G29" si="6">IFERROR(IF($AK24="ja","R",""),"")</f>
        <v/>
      </c>
      <c r="H23" s="246" t="str">
        <f>AG23</f>
        <v>Bromhexan</v>
      </c>
      <c r="I23" s="243"/>
      <c r="J23" s="242" t="str">
        <f>AI23</f>
        <v>hydrogenbromid</v>
      </c>
      <c r="K23" s="243"/>
      <c r="L23" s="135"/>
      <c r="M23" s="2"/>
      <c r="AA23" s="444"/>
      <c r="AB23" s="437" t="s">
        <v>710</v>
      </c>
      <c r="AC23" s="437"/>
      <c r="AD23" s="437" t="s">
        <v>712</v>
      </c>
      <c r="AE23" s="437"/>
      <c r="AF23" s="437"/>
      <c r="AG23" s="437" t="s">
        <v>713</v>
      </c>
      <c r="AH23" s="437"/>
      <c r="AI23" s="437" t="s">
        <v>215</v>
      </c>
      <c r="AJ23" s="437"/>
      <c r="AK23" s="437" t="str">
        <f>IF(AK22="ja","ja","nej")</f>
        <v>nej</v>
      </c>
    </row>
    <row r="24" spans="2:37" ht="21" x14ac:dyDescent="0.35">
      <c r="B24" s="244" t="s">
        <v>46</v>
      </c>
      <c r="C24" s="248"/>
      <c r="D24" s="250">
        <f>AB24</f>
        <v>0.2</v>
      </c>
      <c r="E24" s="230" t="str">
        <f>IF(F24="","",IF(ABS(AD24-F24)/AD24&gt;0.02,"F","R"))</f>
        <v/>
      </c>
      <c r="F24" s="143"/>
      <c r="G24" s="136" t="str">
        <f t="shared" si="6"/>
        <v/>
      </c>
      <c r="H24" s="230" t="str">
        <f>IF(I24="","",IF(ABS(AG24-I24)/AG24&gt;0.02,"F","R"))</f>
        <v/>
      </c>
      <c r="I24" s="143"/>
      <c r="J24" s="230" t="str">
        <f>IF(K24="","",IF(ABS(AI24-K24)/AI24&gt;0.02,"F","R"))</f>
        <v/>
      </c>
      <c r="K24" s="143"/>
      <c r="L24" s="135"/>
      <c r="M24" s="2"/>
      <c r="AA24" s="437" t="s">
        <v>6</v>
      </c>
      <c r="AB24" s="447">
        <v>0.2</v>
      </c>
      <c r="AC24" s="446"/>
      <c r="AD24" s="446">
        <f>AD25*AD26</f>
        <v>0.10785307552718855</v>
      </c>
      <c r="AE24" s="446"/>
      <c r="AF24" s="437"/>
      <c r="AG24" s="446">
        <f>AG26*AG25</f>
        <v>0.20658281709530069</v>
      </c>
      <c r="AH24" s="437"/>
      <c r="AI24" s="437">
        <f>AI25*AI26</f>
        <v>0.10125774357048996</v>
      </c>
      <c r="AJ24" s="437"/>
      <c r="AK24" s="437" t="str">
        <f t="shared" ref="AK24:AK30" si="7">IF(AK23="ja","ja","nej")</f>
        <v>nej</v>
      </c>
    </row>
    <row r="25" spans="2:37" ht="21" x14ac:dyDescent="0.35">
      <c r="B25" s="244" t="s">
        <v>45</v>
      </c>
      <c r="C25" s="230" t="str">
        <f>IF(D25="","",IF(ABS(AB25-D25)/AB25&gt;0.02,"F","R"))</f>
        <v/>
      </c>
      <c r="D25" s="141"/>
      <c r="E25" s="230" t="str">
        <f>IF(F25="","",IF(ABS(AD25-F25)/AD25&gt;0.02,"F","R"))</f>
        <v/>
      </c>
      <c r="F25" s="141"/>
      <c r="G25" s="136" t="str">
        <f t="shared" si="6"/>
        <v/>
      </c>
      <c r="H25" s="230" t="str">
        <f>IF(I25="","",IF(ABS(AG25-I25)/AG25&gt;0.02,"F","R"))</f>
        <v/>
      </c>
      <c r="I25" s="141"/>
      <c r="J25" s="230" t="str">
        <f>IF(K25="","",IF(ABS(AI25-K25)/AI25&gt;0.02,"F","R"))</f>
        <v/>
      </c>
      <c r="K25" s="141"/>
      <c r="L25" s="135"/>
      <c r="M25" s="2"/>
      <c r="AA25" s="437" t="s">
        <v>7</v>
      </c>
      <c r="AB25" s="446">
        <v>159.81</v>
      </c>
      <c r="AC25" s="446"/>
      <c r="AD25" s="446">
        <v>86.18</v>
      </c>
      <c r="AE25" s="446"/>
      <c r="AF25" s="437"/>
      <c r="AG25" s="446">
        <v>165.07</v>
      </c>
      <c r="AH25" s="437"/>
      <c r="AI25" s="437">
        <v>80.91</v>
      </c>
      <c r="AJ25" s="437"/>
      <c r="AK25" s="437" t="str">
        <f t="shared" si="7"/>
        <v>nej</v>
      </c>
    </row>
    <row r="26" spans="2:37" ht="21" x14ac:dyDescent="0.35">
      <c r="B26" s="244" t="s">
        <v>47</v>
      </c>
      <c r="C26" s="230" t="str">
        <f>IF(D26="","",IF(ABS(AB26-D26)/AB26&gt;0.02,"F","R"))</f>
        <v/>
      </c>
      <c r="D26" s="139"/>
      <c r="E26" s="230" t="str">
        <f>IF(F26="","",IF(ABS(AD26-F26)/AD26&gt;0.02,"F","R"))</f>
        <v/>
      </c>
      <c r="F26" s="139"/>
      <c r="G26" s="136" t="str">
        <f t="shared" si="6"/>
        <v/>
      </c>
      <c r="H26" s="230" t="str">
        <f>IF(I26="","",IF(ABS(AG26-I26)/AG26&gt;0.02,"F","R"))</f>
        <v/>
      </c>
      <c r="I26" s="139"/>
      <c r="J26" s="230" t="str">
        <f>IF(K26="","",IF(ABS(AI26-K26)/AI26&gt;0.02,"F","R"))</f>
        <v/>
      </c>
      <c r="K26" s="139"/>
      <c r="L26" s="135"/>
      <c r="M26" s="2"/>
      <c r="AA26" s="437" t="s">
        <v>8</v>
      </c>
      <c r="AB26" s="446">
        <f>AB24/AB25</f>
        <v>1.2514861397910019E-3</v>
      </c>
      <c r="AC26" s="446"/>
      <c r="AD26" s="446">
        <f>AB26*AD27/AB27</f>
        <v>1.2514861397910019E-3</v>
      </c>
      <c r="AE26" s="446"/>
      <c r="AF26" s="437"/>
      <c r="AG26" s="446">
        <f>AD26*AG27/AD27</f>
        <v>1.2514861397910019E-3</v>
      </c>
      <c r="AH26" s="437"/>
      <c r="AI26" s="437">
        <f>AB26*AI27/AB27</f>
        <v>1.2514861397910019E-3</v>
      </c>
      <c r="AJ26" s="437"/>
      <c r="AK26" s="437" t="str">
        <f t="shared" si="7"/>
        <v>nej</v>
      </c>
    </row>
    <row r="27" spans="2:37" ht="21" x14ac:dyDescent="0.35">
      <c r="B27" s="244" t="s">
        <v>90</v>
      </c>
      <c r="C27" s="230" t="str">
        <f>IF(D27="","",IF(D27=AB27,"R","F"))</f>
        <v/>
      </c>
      <c r="D27" s="13"/>
      <c r="E27" s="230" t="str">
        <f>IF(F27="","",IF(ABS(AD27-F27)/AD27&gt;0.02,"F","R"))</f>
        <v/>
      </c>
      <c r="F27" s="12"/>
      <c r="G27" s="136" t="str">
        <f t="shared" si="6"/>
        <v/>
      </c>
      <c r="H27" s="230" t="str">
        <f>IF(I27="","",IF(ABS(AG27-I27)/AG27&gt;0.02,"F","R"))</f>
        <v/>
      </c>
      <c r="I27" s="12"/>
      <c r="J27" s="230" t="str">
        <f>IF(K27="","",IF(ABS(AI27-K27)/AI27&gt;0.02,"F","R"))</f>
        <v/>
      </c>
      <c r="K27" s="12"/>
      <c r="L27" s="135"/>
      <c r="M27" s="2"/>
      <c r="AA27" s="437" t="s">
        <v>9</v>
      </c>
      <c r="AB27" s="446">
        <v>1</v>
      </c>
      <c r="AC27" s="446"/>
      <c r="AD27" s="446">
        <v>1</v>
      </c>
      <c r="AE27" s="446"/>
      <c r="AF27" s="437"/>
      <c r="AG27" s="446">
        <v>1</v>
      </c>
      <c r="AH27" s="437"/>
      <c r="AI27" s="437">
        <v>1</v>
      </c>
      <c r="AJ27" s="437"/>
      <c r="AK27" s="437" t="str">
        <f t="shared" si="7"/>
        <v>nej</v>
      </c>
    </row>
    <row r="28" spans="2:37" ht="21" x14ac:dyDescent="0.35">
      <c r="B28" s="383" t="str">
        <f t="shared" ref="B28:F29" si="8">IFERROR(IF($AK29="ja","R",""),"")</f>
        <v/>
      </c>
      <c r="C28" s="136" t="str">
        <f t="shared" si="8"/>
        <v/>
      </c>
      <c r="D28" s="136" t="str">
        <f t="shared" si="8"/>
        <v/>
      </c>
      <c r="E28" s="136" t="str">
        <f t="shared" si="8"/>
        <v/>
      </c>
      <c r="F28" s="136" t="str">
        <f t="shared" si="8"/>
        <v/>
      </c>
      <c r="G28" s="136" t="str">
        <f t="shared" si="6"/>
        <v/>
      </c>
      <c r="H28" s="136" t="str">
        <f t="shared" ref="H28:K29" si="9">IFERROR(IF($AK29="ja","R",""),"")</f>
        <v/>
      </c>
      <c r="I28" s="136" t="str">
        <f t="shared" si="9"/>
        <v/>
      </c>
      <c r="J28" s="136" t="str">
        <f t="shared" si="9"/>
        <v/>
      </c>
      <c r="K28" s="136" t="str">
        <f t="shared" si="9"/>
        <v/>
      </c>
      <c r="L28" s="135"/>
      <c r="M28" s="2"/>
      <c r="AA28" s="446"/>
      <c r="AB28" s="446"/>
      <c r="AC28" s="446"/>
      <c r="AD28" s="446"/>
      <c r="AE28" s="437"/>
      <c r="AF28" s="446"/>
      <c r="AG28" s="437"/>
      <c r="AH28" s="437"/>
      <c r="AI28" s="437"/>
      <c r="AJ28" s="437"/>
      <c r="AK28" s="437" t="str">
        <f t="shared" si="7"/>
        <v>nej</v>
      </c>
    </row>
    <row r="29" spans="2:37" ht="21" x14ac:dyDescent="0.35">
      <c r="B29" s="383" t="str">
        <f t="shared" si="8"/>
        <v/>
      </c>
      <c r="C29" s="136" t="str">
        <f t="shared" si="8"/>
        <v/>
      </c>
      <c r="D29" s="136" t="str">
        <f t="shared" si="8"/>
        <v/>
      </c>
      <c r="E29" s="136" t="str">
        <f t="shared" si="8"/>
        <v/>
      </c>
      <c r="F29" s="136" t="str">
        <f t="shared" si="8"/>
        <v/>
      </c>
      <c r="G29" s="136" t="str">
        <f t="shared" si="6"/>
        <v/>
      </c>
      <c r="H29" s="136" t="str">
        <f t="shared" si="9"/>
        <v/>
      </c>
      <c r="I29" s="136" t="str">
        <f t="shared" si="9"/>
        <v/>
      </c>
      <c r="J29" s="136" t="str">
        <f t="shared" si="9"/>
        <v/>
      </c>
      <c r="K29" s="136" t="str">
        <f t="shared" si="9"/>
        <v/>
      </c>
      <c r="L29" s="135"/>
      <c r="M29" s="2"/>
      <c r="AA29" s="446"/>
      <c r="AB29" s="446"/>
      <c r="AC29" s="446"/>
      <c r="AD29" s="446"/>
      <c r="AE29" s="437"/>
      <c r="AF29" s="446"/>
      <c r="AG29" s="437"/>
      <c r="AH29" s="437"/>
      <c r="AI29" s="437"/>
      <c r="AJ29" s="437"/>
      <c r="AK29" s="437" t="str">
        <f t="shared" si="7"/>
        <v>nej</v>
      </c>
    </row>
    <row r="30" spans="2:37" x14ac:dyDescent="0.25">
      <c r="B30" s="17"/>
      <c r="L30" s="18"/>
      <c r="AA30" s="437"/>
      <c r="AB30" s="437"/>
      <c r="AC30" s="437"/>
      <c r="AD30" s="437"/>
      <c r="AE30" s="437"/>
      <c r="AF30" s="437"/>
      <c r="AG30" s="437"/>
      <c r="AH30" s="437"/>
      <c r="AI30" s="437"/>
      <c r="AJ30" s="437"/>
      <c r="AK30" s="437" t="str">
        <f t="shared" si="7"/>
        <v>nej</v>
      </c>
    </row>
    <row r="31" spans="2:37" customFormat="1" ht="21" x14ac:dyDescent="0.35">
      <c r="B31" s="384"/>
      <c r="C31" s="147"/>
      <c r="D31" s="147"/>
      <c r="E31" s="147"/>
      <c r="F31" s="147"/>
      <c r="G31" s="147"/>
      <c r="H31" s="147"/>
      <c r="I31" s="147"/>
      <c r="J31" s="147"/>
      <c r="K31" s="147"/>
      <c r="L31" s="148"/>
      <c r="M31" s="2"/>
      <c r="AA31" s="437"/>
      <c r="AB31" s="446"/>
      <c r="AC31" s="446"/>
      <c r="AD31" s="446"/>
      <c r="AE31" s="437"/>
      <c r="AF31" s="446"/>
      <c r="AG31" s="437"/>
      <c r="AH31" s="437"/>
      <c r="AI31" s="437"/>
      <c r="AJ31" s="437"/>
      <c r="AK31" s="437"/>
    </row>
    <row r="32" spans="2:37" customFormat="1" ht="31.5" x14ac:dyDescent="0.35">
      <c r="B32" s="382" t="s">
        <v>718</v>
      </c>
      <c r="C32" s="153"/>
      <c r="D32" s="153"/>
      <c r="E32" s="153"/>
      <c r="F32" s="153"/>
      <c r="G32" s="153"/>
      <c r="H32" s="153"/>
      <c r="I32" s="153"/>
      <c r="J32" s="154"/>
      <c r="K32" s="154"/>
      <c r="L32" s="155"/>
      <c r="M32" s="2"/>
      <c r="AA32" s="444"/>
      <c r="AB32" s="444"/>
      <c r="AC32" s="444"/>
      <c r="AD32" s="437"/>
      <c r="AE32" s="437"/>
      <c r="AF32" s="437"/>
      <c r="AG32" s="437"/>
      <c r="AH32" s="437"/>
      <c r="AI32" s="437"/>
      <c r="AJ32" s="437"/>
      <c r="AK32" s="437"/>
    </row>
    <row r="33" spans="2:37" customFormat="1" ht="28.5" customHeight="1" x14ac:dyDescent="0.35">
      <c r="B33" s="488" t="s">
        <v>726</v>
      </c>
      <c r="C33" s="489"/>
      <c r="D33" s="489"/>
      <c r="E33" s="489"/>
      <c r="F33" s="489"/>
      <c r="G33" s="489"/>
      <c r="H33" s="489"/>
      <c r="I33" s="489"/>
      <c r="J33" s="489"/>
      <c r="K33" s="489"/>
      <c r="L33" s="490"/>
      <c r="M33" s="2"/>
      <c r="N33" s="11"/>
      <c r="AA33" s="444"/>
      <c r="AB33" s="444"/>
      <c r="AC33" s="444"/>
      <c r="AD33" s="437"/>
      <c r="AE33" s="437"/>
      <c r="AF33" s="437"/>
      <c r="AG33" s="437"/>
      <c r="AH33" s="437"/>
      <c r="AI33" s="437"/>
      <c r="AJ33" s="437"/>
      <c r="AK33" s="437"/>
    </row>
    <row r="34" spans="2:37" customFormat="1" ht="21" x14ac:dyDescent="0.35">
      <c r="B34" s="488" t="s">
        <v>1003</v>
      </c>
      <c r="C34" s="489"/>
      <c r="D34" s="489"/>
      <c r="E34" s="489"/>
      <c r="F34" s="489"/>
      <c r="G34" s="489"/>
      <c r="H34" s="489"/>
      <c r="I34" s="489"/>
      <c r="J34" s="489"/>
      <c r="K34" s="489"/>
      <c r="L34" s="490"/>
      <c r="M34" s="2"/>
      <c r="N34" s="11"/>
      <c r="AA34" s="444"/>
      <c r="AB34" s="444"/>
      <c r="AC34" s="444"/>
      <c r="AD34" s="437"/>
      <c r="AE34" s="437"/>
      <c r="AF34" s="437"/>
      <c r="AG34" s="437"/>
      <c r="AH34" s="437"/>
      <c r="AI34" s="437"/>
      <c r="AJ34" s="437"/>
      <c r="AK34" s="437"/>
    </row>
    <row r="35" spans="2:37" customFormat="1" ht="21" x14ac:dyDescent="0.35">
      <c r="B35" s="383" t="str">
        <f t="shared" ref="B35:K35" si="10">IFERROR(IF($AK36="ja","R",""),"")</f>
        <v/>
      </c>
      <c r="C35" s="136" t="str">
        <f t="shared" si="10"/>
        <v/>
      </c>
      <c r="D35" s="136" t="str">
        <f t="shared" si="10"/>
        <v/>
      </c>
      <c r="E35" s="136" t="str">
        <f t="shared" si="10"/>
        <v/>
      </c>
      <c r="F35" s="136" t="str">
        <f t="shared" si="10"/>
        <v/>
      </c>
      <c r="G35" s="136" t="str">
        <f t="shared" si="10"/>
        <v/>
      </c>
      <c r="H35" s="136" t="str">
        <f t="shared" si="10"/>
        <v/>
      </c>
      <c r="I35" s="136" t="str">
        <f t="shared" si="10"/>
        <v/>
      </c>
      <c r="J35" s="136" t="str">
        <f t="shared" si="10"/>
        <v/>
      </c>
      <c r="K35" s="136" t="str">
        <f t="shared" si="10"/>
        <v/>
      </c>
      <c r="L35" s="132"/>
      <c r="M35" s="2"/>
      <c r="N35" s="134"/>
      <c r="AA35" s="444"/>
      <c r="AB35" s="444"/>
      <c r="AC35" s="444"/>
      <c r="AD35" s="437"/>
      <c r="AE35" s="437"/>
      <c r="AF35" s="437"/>
      <c r="AG35" s="437"/>
      <c r="AH35" s="437"/>
      <c r="AI35" s="437"/>
      <c r="AJ35" s="437"/>
      <c r="AK35" s="437" t="s">
        <v>714</v>
      </c>
    </row>
    <row r="36" spans="2:37" customFormat="1" ht="21" x14ac:dyDescent="0.35">
      <c r="B36" s="238" t="s">
        <v>738</v>
      </c>
      <c r="C36" s="239" t="str">
        <f>IF(C41="R",IF(D41&lt;&gt;1,D41,""),"")&amp;" "&amp;AB36</f>
        <v xml:space="preserve"> C₆H₁₂O₆</v>
      </c>
      <c r="D36" s="240"/>
      <c r="E36" s="245" t="s">
        <v>48</v>
      </c>
      <c r="F36" s="240" t="str">
        <f>IF(E41="R",IF(F41&lt;&gt;1,F41,""),"")&amp;" "&amp;AE36</f>
        <v xml:space="preserve"> C₂H₅OH</v>
      </c>
      <c r="G36" s="245" t="s">
        <v>721</v>
      </c>
      <c r="H36" s="239" t="str">
        <f>IF(H41="R",IF(I41&lt;&gt;1,I41,""),"")&amp;" "&amp;AG36</f>
        <v xml:space="preserve"> CO₂</v>
      </c>
      <c r="I36" s="239"/>
      <c r="J36" s="136" t="str">
        <f t="shared" ref="J36:K43" si="11">IFERROR(IF($AK37="ja","R",""),"")</f>
        <v/>
      </c>
      <c r="K36" s="136" t="str">
        <f t="shared" si="11"/>
        <v/>
      </c>
      <c r="L36" s="135"/>
      <c r="M36" s="2"/>
      <c r="N36" s="134"/>
      <c r="AA36" s="437"/>
      <c r="AB36" s="445" t="s">
        <v>719</v>
      </c>
      <c r="AC36" s="445"/>
      <c r="AD36" s="437" t="s">
        <v>48</v>
      </c>
      <c r="AE36" s="445" t="s">
        <v>722</v>
      </c>
      <c r="AF36" s="445"/>
      <c r="AG36" s="445" t="s">
        <v>31</v>
      </c>
      <c r="AH36" s="437"/>
      <c r="AI36" s="437"/>
      <c r="AJ36" s="437"/>
      <c r="AK36" s="437" t="str" cm="1">
        <f t="array" ref="AK36">IFERROR(IF(AND(C39:C41="R",E38:E41="R",H38:H41="R"),"ja","nej"),"nej")</f>
        <v>nej</v>
      </c>
    </row>
    <row r="37" spans="2:37" customFormat="1" ht="21" x14ac:dyDescent="0.35">
      <c r="B37" s="241" t="s">
        <v>283</v>
      </c>
      <c r="C37" s="242" t="str">
        <f>AB37</f>
        <v>Druesukker</v>
      </c>
      <c r="D37" s="243"/>
      <c r="E37" s="247"/>
      <c r="F37" s="246" t="str">
        <f>AE37</f>
        <v>Ethanol</v>
      </c>
      <c r="G37" s="136" t="str">
        <f t="shared" ref="G37:G43" si="12">IFERROR(IF($AK38="ja","R",""),"")</f>
        <v/>
      </c>
      <c r="H37" s="246" t="str">
        <f>AG37</f>
        <v>Carbondioxid</v>
      </c>
      <c r="I37" s="243"/>
      <c r="J37" s="136" t="str">
        <f t="shared" si="11"/>
        <v/>
      </c>
      <c r="K37" s="136" t="str">
        <f t="shared" si="11"/>
        <v/>
      </c>
      <c r="L37" s="135"/>
      <c r="M37" s="2"/>
      <c r="N37" s="134"/>
      <c r="AA37" s="437"/>
      <c r="AB37" s="437" t="s">
        <v>720</v>
      </c>
      <c r="AC37" s="437"/>
      <c r="AD37" s="437"/>
      <c r="AE37" s="437" t="s">
        <v>723</v>
      </c>
      <c r="AF37" s="437"/>
      <c r="AG37" s="437" t="s">
        <v>724</v>
      </c>
      <c r="AH37" s="437"/>
      <c r="AI37" s="437"/>
      <c r="AJ37" s="437"/>
      <c r="AK37" s="437" t="str">
        <f>IF(AK36="ja","ja","nej")</f>
        <v>nej</v>
      </c>
    </row>
    <row r="38" spans="2:37" customFormat="1" ht="21" x14ac:dyDescent="0.35">
      <c r="B38" s="244" t="s">
        <v>46</v>
      </c>
      <c r="C38" s="248"/>
      <c r="D38" s="249">
        <f>AB38</f>
        <v>1000</v>
      </c>
      <c r="E38" s="230" t="str">
        <f>IF(F38="","",IF(ABS(AE38-F38)/AE38&gt;0.02,"F","R"))</f>
        <v/>
      </c>
      <c r="F38" s="145"/>
      <c r="G38" s="136" t="str">
        <f t="shared" si="12"/>
        <v/>
      </c>
      <c r="H38" s="230" t="str">
        <f>IF(I38="","",IF(ABS(AG38-I38)/AG38&gt;0.02,"F","R"))</f>
        <v/>
      </c>
      <c r="I38" s="145"/>
      <c r="J38" s="136" t="str">
        <f t="shared" si="11"/>
        <v/>
      </c>
      <c r="K38" s="136" t="str">
        <f t="shared" si="11"/>
        <v/>
      </c>
      <c r="L38" s="135"/>
      <c r="M38" s="2"/>
      <c r="AA38" s="437" t="s">
        <v>6</v>
      </c>
      <c r="AB38" s="446">
        <v>1000</v>
      </c>
      <c r="AC38" s="446"/>
      <c r="AD38" s="437"/>
      <c r="AE38" s="446">
        <f>AE39*AE40</f>
        <v>511.43428063943168</v>
      </c>
      <c r="AF38" s="437"/>
      <c r="AG38" s="446">
        <f>AG40*AG39</f>
        <v>488.56571936056844</v>
      </c>
      <c r="AH38" s="437"/>
      <c r="AI38" s="437"/>
      <c r="AJ38" s="437"/>
      <c r="AK38" s="437" t="str">
        <f t="shared" ref="AK38:AK44" si="13">IF(AK37="ja","ja","nej")</f>
        <v>nej</v>
      </c>
    </row>
    <row r="39" spans="2:37" customFormat="1" ht="21" x14ac:dyDescent="0.35">
      <c r="B39" s="244" t="s">
        <v>45</v>
      </c>
      <c r="C39" s="230" t="str">
        <f>IF(D39="","",IF(ABS(AB39-D39)/AB39&gt;0.02,"F","R"))</f>
        <v/>
      </c>
      <c r="D39" s="141"/>
      <c r="E39" s="230" t="str">
        <f>IF(F39="","",IF(ABS(AE39-F39)/AE39&gt;0.02,"F","R"))</f>
        <v/>
      </c>
      <c r="F39" s="141"/>
      <c r="G39" s="136" t="str">
        <f t="shared" si="12"/>
        <v/>
      </c>
      <c r="H39" s="230" t="str">
        <f>IF(I39="","",IF(ABS(AG39-I39)/AG39&gt;0.02,"F","R"))</f>
        <v/>
      </c>
      <c r="I39" s="141"/>
      <c r="J39" s="136" t="str">
        <f t="shared" si="11"/>
        <v/>
      </c>
      <c r="K39" s="136" t="str">
        <f t="shared" si="11"/>
        <v/>
      </c>
      <c r="L39" s="135"/>
      <c r="M39" s="2"/>
      <c r="AA39" s="437" t="s">
        <v>7</v>
      </c>
      <c r="AB39" s="446">
        <v>180.16</v>
      </c>
      <c r="AC39" s="446"/>
      <c r="AD39" s="437"/>
      <c r="AE39" s="446">
        <v>46.07</v>
      </c>
      <c r="AF39" s="437"/>
      <c r="AG39" s="446">
        <v>44.01</v>
      </c>
      <c r="AH39" s="437"/>
      <c r="AI39" s="437"/>
      <c r="AJ39" s="437"/>
      <c r="AK39" s="437" t="str">
        <f t="shared" si="13"/>
        <v>nej</v>
      </c>
    </row>
    <row r="40" spans="2:37" customFormat="1" ht="21" x14ac:dyDescent="0.35">
      <c r="B40" s="244" t="s">
        <v>47</v>
      </c>
      <c r="C40" s="230" t="str">
        <f>IF(D40="","",IF(ABS(AB40-D40)/AB40&gt;0.02,"F","R"))</f>
        <v/>
      </c>
      <c r="D40" s="140"/>
      <c r="E40" s="230" t="str">
        <f>IF(F40="","",IF(ABS(AE40-F40)/AE40&gt;0.02,"F","R"))</f>
        <v/>
      </c>
      <c r="F40" s="140"/>
      <c r="G40" s="136" t="str">
        <f t="shared" si="12"/>
        <v/>
      </c>
      <c r="H40" s="230" t="str">
        <f>IF(I40="","",IF(ABS(AG40-I40)/AG40&gt;0.02,"F","R"))</f>
        <v/>
      </c>
      <c r="I40" s="140"/>
      <c r="J40" s="136" t="str">
        <f t="shared" si="11"/>
        <v/>
      </c>
      <c r="K40" s="136" t="str">
        <f t="shared" si="11"/>
        <v/>
      </c>
      <c r="L40" s="135"/>
      <c r="M40" s="2"/>
      <c r="AA40" s="437" t="s">
        <v>8</v>
      </c>
      <c r="AB40" s="446">
        <f>AB38/AB39</f>
        <v>5.5506216696269988</v>
      </c>
      <c r="AC40" s="446"/>
      <c r="AD40" s="437"/>
      <c r="AE40" s="446">
        <f>AB40*AE41/AB41</f>
        <v>11.101243339253998</v>
      </c>
      <c r="AF40" s="437"/>
      <c r="AG40" s="446">
        <f>AE40*AG41/AE41</f>
        <v>11.101243339253998</v>
      </c>
      <c r="AH40" s="437"/>
      <c r="AI40" s="437"/>
      <c r="AJ40" s="437"/>
      <c r="AK40" s="437" t="str">
        <f t="shared" si="13"/>
        <v>nej</v>
      </c>
    </row>
    <row r="41" spans="2:37" customFormat="1" ht="21" x14ac:dyDescent="0.35">
      <c r="B41" s="244" t="s">
        <v>90</v>
      </c>
      <c r="C41" s="230" t="str">
        <f>IF(D41="","",IF(D41=AB41,"R","F"))</f>
        <v/>
      </c>
      <c r="D41" s="13"/>
      <c r="E41" s="230" t="str">
        <f>IF(F41="","",IF(ABS(AE41-F41)/AE41&gt;0.02,"F","R"))</f>
        <v/>
      </c>
      <c r="F41" s="12"/>
      <c r="G41" s="136" t="str">
        <f t="shared" si="12"/>
        <v/>
      </c>
      <c r="H41" s="230" t="str">
        <f>IF(I41="","",IF(ABS(AG41-I41)/AG41&gt;0.02,"F","R"))</f>
        <v/>
      </c>
      <c r="I41" s="12"/>
      <c r="J41" s="136" t="str">
        <f t="shared" si="11"/>
        <v/>
      </c>
      <c r="K41" s="136" t="str">
        <f t="shared" si="11"/>
        <v/>
      </c>
      <c r="L41" s="135"/>
      <c r="M41" s="2"/>
      <c r="AA41" s="437" t="s">
        <v>9</v>
      </c>
      <c r="AB41" s="446">
        <v>1</v>
      </c>
      <c r="AC41" s="446"/>
      <c r="AD41" s="437"/>
      <c r="AE41" s="446">
        <v>2</v>
      </c>
      <c r="AF41" s="437"/>
      <c r="AG41" s="446">
        <v>2</v>
      </c>
      <c r="AH41" s="437"/>
      <c r="AI41" s="437"/>
      <c r="AJ41" s="437"/>
      <c r="AK41" s="437" t="str">
        <f t="shared" si="13"/>
        <v>nej</v>
      </c>
    </row>
    <row r="42" spans="2:37" customFormat="1" ht="21" x14ac:dyDescent="0.35">
      <c r="B42" s="383" t="str">
        <f t="shared" ref="B42:F43" si="14">IFERROR(IF($AK43="ja","R",""),"")</f>
        <v/>
      </c>
      <c r="C42" s="136" t="str">
        <f t="shared" si="14"/>
        <v/>
      </c>
      <c r="D42" s="136" t="str">
        <f t="shared" si="14"/>
        <v/>
      </c>
      <c r="E42" s="136" t="str">
        <f t="shared" si="14"/>
        <v/>
      </c>
      <c r="F42" s="136" t="str">
        <f t="shared" si="14"/>
        <v/>
      </c>
      <c r="G42" s="136" t="str">
        <f t="shared" si="12"/>
        <v/>
      </c>
      <c r="H42" s="136" t="str">
        <f>IFERROR(IF($AK43="ja","R",""),"")</f>
        <v/>
      </c>
      <c r="I42" s="136" t="str">
        <f>IFERROR(IF($AK43="ja","R",""),"")</f>
        <v/>
      </c>
      <c r="J42" s="136" t="str">
        <f t="shared" si="11"/>
        <v/>
      </c>
      <c r="K42" s="136" t="str">
        <f t="shared" si="11"/>
        <v/>
      </c>
      <c r="L42" s="135"/>
      <c r="M42" s="2"/>
      <c r="AA42" s="437"/>
      <c r="AB42" s="446"/>
      <c r="AC42" s="446"/>
      <c r="AD42" s="446"/>
      <c r="AE42" s="437"/>
      <c r="AF42" s="446"/>
      <c r="AG42" s="437"/>
      <c r="AH42" s="437"/>
      <c r="AI42" s="437"/>
      <c r="AJ42" s="437"/>
      <c r="AK42" s="437" t="str">
        <f t="shared" si="13"/>
        <v>nej</v>
      </c>
    </row>
    <row r="43" spans="2:37" customFormat="1" ht="21" x14ac:dyDescent="0.35">
      <c r="B43" s="383" t="str">
        <f t="shared" si="14"/>
        <v/>
      </c>
      <c r="C43" s="136" t="str">
        <f t="shared" si="14"/>
        <v/>
      </c>
      <c r="D43" s="136" t="str">
        <f t="shared" si="14"/>
        <v/>
      </c>
      <c r="E43" s="136" t="str">
        <f t="shared" si="14"/>
        <v/>
      </c>
      <c r="F43" s="136" t="str">
        <f t="shared" si="14"/>
        <v/>
      </c>
      <c r="G43" s="136" t="str">
        <f t="shared" si="12"/>
        <v/>
      </c>
      <c r="H43" s="136" t="str">
        <f>IFERROR(IF($AK44="ja","R",""),"")</f>
        <v/>
      </c>
      <c r="I43" s="136" t="str">
        <f>IFERROR(IF($AK44="ja","R",""),"")</f>
        <v/>
      </c>
      <c r="J43" s="136" t="str">
        <f t="shared" si="11"/>
        <v/>
      </c>
      <c r="K43" s="136" t="str">
        <f t="shared" si="11"/>
        <v/>
      </c>
      <c r="L43" s="135"/>
      <c r="M43" s="2"/>
      <c r="AA43" s="437"/>
      <c r="AB43" s="446"/>
      <c r="AC43" s="446"/>
      <c r="AD43" s="446"/>
      <c r="AE43" s="437"/>
      <c r="AF43" s="446"/>
      <c r="AG43" s="437"/>
      <c r="AH43" s="437"/>
      <c r="AI43" s="437"/>
      <c r="AJ43" s="437"/>
      <c r="AK43" s="437" t="str">
        <f t="shared" si="13"/>
        <v>nej</v>
      </c>
    </row>
    <row r="44" spans="2:37" customFormat="1" ht="21" x14ac:dyDescent="0.35">
      <c r="B44" s="384"/>
      <c r="C44" s="147"/>
      <c r="D44" s="147"/>
      <c r="E44" s="147"/>
      <c r="F44" s="147"/>
      <c r="G44" s="147"/>
      <c r="H44" s="147"/>
      <c r="I44" s="147"/>
      <c r="J44" s="147"/>
      <c r="K44" s="147"/>
      <c r="L44" s="148"/>
      <c r="M44" s="2"/>
      <c r="AA44" s="437"/>
      <c r="AB44" s="446"/>
      <c r="AC44" s="446"/>
      <c r="AD44" s="446"/>
      <c r="AE44" s="437"/>
      <c r="AF44" s="446"/>
      <c r="AG44" s="437"/>
      <c r="AH44" s="437"/>
      <c r="AI44" s="437"/>
      <c r="AJ44" s="437"/>
      <c r="AK44" s="437" t="str">
        <f t="shared" si="13"/>
        <v>nej</v>
      </c>
    </row>
    <row r="45" spans="2:37" customFormat="1" ht="31.5" x14ac:dyDescent="0.35">
      <c r="B45" s="382" t="s">
        <v>725</v>
      </c>
      <c r="C45" s="153"/>
      <c r="D45" s="153"/>
      <c r="E45" s="153"/>
      <c r="F45" s="153"/>
      <c r="G45" s="153"/>
      <c r="H45" s="153"/>
      <c r="I45" s="153"/>
      <c r="J45" s="154"/>
      <c r="K45" s="154"/>
      <c r="L45" s="155"/>
      <c r="M45" s="2"/>
      <c r="AA45" s="444"/>
      <c r="AB45" s="444"/>
      <c r="AC45" s="444"/>
      <c r="AD45" s="437"/>
      <c r="AE45" s="437"/>
      <c r="AF45" s="437"/>
      <c r="AG45" s="437"/>
      <c r="AH45" s="437"/>
      <c r="AI45" s="437"/>
      <c r="AJ45" s="437"/>
      <c r="AK45" s="437"/>
    </row>
    <row r="46" spans="2:37" customFormat="1" ht="24.75" customHeight="1" x14ac:dyDescent="0.35">
      <c r="B46" s="488" t="s">
        <v>729</v>
      </c>
      <c r="C46" s="489"/>
      <c r="D46" s="489"/>
      <c r="E46" s="489"/>
      <c r="F46" s="489"/>
      <c r="G46" s="489"/>
      <c r="H46" s="489"/>
      <c r="I46" s="489"/>
      <c r="J46" s="489"/>
      <c r="K46" s="489"/>
      <c r="L46" s="490"/>
      <c r="M46" s="2"/>
      <c r="N46" s="11"/>
      <c r="AA46" s="444"/>
      <c r="AB46" s="444"/>
      <c r="AC46" s="444"/>
      <c r="AD46" s="437"/>
      <c r="AE46" s="437"/>
      <c r="AF46" s="437"/>
      <c r="AG46" s="437"/>
      <c r="AH46" s="437"/>
      <c r="AI46" s="437"/>
      <c r="AJ46" s="437"/>
      <c r="AK46" s="437"/>
    </row>
    <row r="47" spans="2:37" customFormat="1" ht="21" x14ac:dyDescent="0.35">
      <c r="B47" s="488" t="s">
        <v>994</v>
      </c>
      <c r="C47" s="489"/>
      <c r="D47" s="489"/>
      <c r="E47" s="489"/>
      <c r="F47" s="489"/>
      <c r="G47" s="489"/>
      <c r="H47" s="489"/>
      <c r="I47" s="489"/>
      <c r="J47" s="489"/>
      <c r="K47" s="489"/>
      <c r="L47" s="490"/>
      <c r="M47" s="2"/>
      <c r="N47" s="11"/>
      <c r="AA47" s="444"/>
      <c r="AB47" s="444"/>
      <c r="AC47" s="444"/>
      <c r="AD47" s="437"/>
      <c r="AE47" s="437"/>
      <c r="AF47" s="437"/>
      <c r="AG47" s="437"/>
      <c r="AH47" s="437"/>
      <c r="AI47" s="437"/>
      <c r="AJ47" s="437"/>
      <c r="AK47" s="437"/>
    </row>
    <row r="48" spans="2:37" customFormat="1" ht="21" x14ac:dyDescent="0.35">
      <c r="B48" s="383" t="str">
        <f t="shared" ref="B48:K48" si="15">IFERROR(IF($AK49="ja","R",""),"")</f>
        <v/>
      </c>
      <c r="C48" s="136" t="str">
        <f t="shared" si="15"/>
        <v/>
      </c>
      <c r="D48" s="136" t="str">
        <f t="shared" si="15"/>
        <v/>
      </c>
      <c r="E48" s="136" t="str">
        <f t="shared" si="15"/>
        <v/>
      </c>
      <c r="F48" s="136" t="str">
        <f t="shared" si="15"/>
        <v/>
      </c>
      <c r="G48" s="136" t="str">
        <f t="shared" si="15"/>
        <v/>
      </c>
      <c r="H48" s="136" t="str">
        <f t="shared" si="15"/>
        <v/>
      </c>
      <c r="I48" s="136" t="str">
        <f t="shared" si="15"/>
        <v/>
      </c>
      <c r="J48" s="136" t="str">
        <f t="shared" si="15"/>
        <v/>
      </c>
      <c r="K48" s="136" t="str">
        <f t="shared" si="15"/>
        <v/>
      </c>
      <c r="L48" s="132"/>
      <c r="M48" s="2"/>
      <c r="N48" s="11"/>
      <c r="AA48" s="444"/>
      <c r="AB48" s="444"/>
      <c r="AC48" s="444"/>
      <c r="AD48" s="437"/>
      <c r="AE48" s="437"/>
      <c r="AF48" s="437"/>
      <c r="AG48" s="437"/>
      <c r="AH48" s="437"/>
      <c r="AI48" s="437"/>
      <c r="AJ48" s="437"/>
      <c r="AK48" s="437" t="s">
        <v>714</v>
      </c>
    </row>
    <row r="49" spans="2:37" customFormat="1" ht="21" x14ac:dyDescent="0.35">
      <c r="B49" s="238" t="s">
        <v>739</v>
      </c>
      <c r="C49" s="239" t="str">
        <f>IF(C54="R",IF(D54&lt;&gt;1,D54,""),"")&amp;" "&amp;AB49&amp;"    +"</f>
        <v xml:space="preserve"> C₆H₁₂O₆    +</v>
      </c>
      <c r="D49" s="240"/>
      <c r="E49" s="239" t="str">
        <f>IF(E54="R",IF(F54&lt;&gt;1,F54,""),"")&amp;" "&amp;AD49</f>
        <v xml:space="preserve"> O₂</v>
      </c>
      <c r="F49" s="240"/>
      <c r="G49" s="245" t="s">
        <v>48</v>
      </c>
      <c r="H49" s="239" t="str">
        <f>IF(C54="R",IF(I54&lt;&gt;1,I54,""),"")&amp;" "&amp;AG49&amp;"    +"</f>
        <v xml:space="preserve"> CO₂    +</v>
      </c>
      <c r="I49" s="240"/>
      <c r="J49" s="239" t="str">
        <f>IF(J54="R",IF(K54&lt;&gt;1,K54,""),"")&amp;" "&amp;AI49</f>
        <v xml:space="preserve"> H₂O</v>
      </c>
      <c r="K49" s="239"/>
      <c r="L49" s="135"/>
      <c r="M49" s="2"/>
      <c r="N49" s="11"/>
      <c r="AA49" s="444"/>
      <c r="AB49" s="445" t="s">
        <v>719</v>
      </c>
      <c r="AC49" s="445"/>
      <c r="AD49" s="445" t="s">
        <v>49</v>
      </c>
      <c r="AE49" s="445" t="s">
        <v>48</v>
      </c>
      <c r="AF49" s="445"/>
      <c r="AG49" s="445" t="s">
        <v>31</v>
      </c>
      <c r="AH49" s="437"/>
      <c r="AI49" s="437" t="s">
        <v>50</v>
      </c>
      <c r="AJ49" s="437"/>
      <c r="AK49" s="437" t="str" cm="1">
        <f t="array" ref="AK49">IFERROR(IF(AND(C52:C54="R",E51:E54="R",H51:H54="R",J51:J54="R"),"ja","nej"),"nej")</f>
        <v>nej</v>
      </c>
    </row>
    <row r="50" spans="2:37" customFormat="1" ht="21" x14ac:dyDescent="0.35">
      <c r="B50" s="241" t="s">
        <v>283</v>
      </c>
      <c r="C50" s="242" t="str">
        <f>AB50</f>
        <v>Druesukker</v>
      </c>
      <c r="D50" s="243"/>
      <c r="E50" s="242" t="str">
        <f>AD50</f>
        <v>Dioxygen</v>
      </c>
      <c r="F50" s="243"/>
      <c r="G50" s="136" t="str">
        <f t="shared" ref="G50:G56" si="16">IFERROR(IF($AK51="ja","R",""),"")</f>
        <v/>
      </c>
      <c r="H50" s="246" t="str">
        <f>AG50</f>
        <v>Carbondioxid</v>
      </c>
      <c r="I50" s="243"/>
      <c r="J50" s="242" t="str">
        <f>AI50</f>
        <v>Vand</v>
      </c>
      <c r="K50" s="243"/>
      <c r="L50" s="135"/>
      <c r="M50" s="2"/>
      <c r="N50" s="11"/>
      <c r="AA50" s="444"/>
      <c r="AB50" s="437" t="s">
        <v>720</v>
      </c>
      <c r="AC50" s="437"/>
      <c r="AD50" s="437" t="s">
        <v>727</v>
      </c>
      <c r="AE50" s="437"/>
      <c r="AF50" s="437"/>
      <c r="AG50" s="437" t="s">
        <v>724</v>
      </c>
      <c r="AH50" s="437"/>
      <c r="AI50" s="437" t="s">
        <v>728</v>
      </c>
      <c r="AJ50" s="437"/>
      <c r="AK50" s="437" t="str">
        <f>IF(AK49="ja","ja","nej")</f>
        <v>nej</v>
      </c>
    </row>
    <row r="51" spans="2:37" customFormat="1" ht="21" x14ac:dyDescent="0.35">
      <c r="B51" s="244" t="s">
        <v>46</v>
      </c>
      <c r="C51" s="248"/>
      <c r="D51" s="249">
        <f>AB51</f>
        <v>540</v>
      </c>
      <c r="E51" s="230" t="str">
        <f>IF(F51="","",IF(ABS(AD51-F51)/AD51&gt;0.02,"F","R"))</f>
        <v/>
      </c>
      <c r="F51" s="142"/>
      <c r="G51" s="136" t="str">
        <f t="shared" si="16"/>
        <v/>
      </c>
      <c r="H51" s="230" t="str">
        <f>IF(I51="","",IF(ABS(AG51-I51)/AG51&gt;0.02,"F","R"))</f>
        <v/>
      </c>
      <c r="I51" s="142"/>
      <c r="J51" s="230" t="str">
        <f>IF(K51="","",IF(ABS(AI51-K51)/AI51&gt;0.02,"F","R"))</f>
        <v/>
      </c>
      <c r="K51" s="142"/>
      <c r="L51" s="135"/>
      <c r="M51" s="2"/>
      <c r="N51" s="11"/>
      <c r="AA51" s="437" t="s">
        <v>6</v>
      </c>
      <c r="AB51" s="447">
        <v>540</v>
      </c>
      <c r="AC51" s="446"/>
      <c r="AD51" s="446">
        <f>AD52*AD53</f>
        <v>575.4884547069272</v>
      </c>
      <c r="AE51" s="446"/>
      <c r="AF51" s="437"/>
      <c r="AG51" s="446">
        <f>AG53*AG52</f>
        <v>791.47646536412083</v>
      </c>
      <c r="AH51" s="437"/>
      <c r="AI51" s="437">
        <f>AI52*AI53</f>
        <v>324</v>
      </c>
      <c r="AJ51" s="437"/>
      <c r="AK51" s="437" t="str">
        <f t="shared" ref="AK51:AK57" si="17">IF(AK50="ja","ja","nej")</f>
        <v>nej</v>
      </c>
    </row>
    <row r="52" spans="2:37" customFormat="1" ht="21" x14ac:dyDescent="0.35">
      <c r="B52" s="244" t="s">
        <v>45</v>
      </c>
      <c r="C52" s="230" t="str">
        <f>IF(D52="","",IF(ABS(AB52-D52)/AB52&gt;0.02,"F","R"))</f>
        <v/>
      </c>
      <c r="D52" s="141"/>
      <c r="E52" s="230" t="str">
        <f>IF(F52="","",IF(ABS(AD52-F52)/AD52&gt;0.02,"F","R"))</f>
        <v/>
      </c>
      <c r="F52" s="141"/>
      <c r="G52" s="136" t="str">
        <f t="shared" si="16"/>
        <v/>
      </c>
      <c r="H52" s="230" t="str">
        <f>IF(I52="","",IF(ABS(AG52-I52)/AG52&gt;0.02,"F","R"))</f>
        <v/>
      </c>
      <c r="I52" s="141"/>
      <c r="J52" s="230" t="str">
        <f>IF(K52="","",IF(ABS(AI52-K52)/AI52&gt;0.02,"F","R"))</f>
        <v/>
      </c>
      <c r="K52" s="141"/>
      <c r="L52" s="135"/>
      <c r="M52" s="2"/>
      <c r="N52" s="11"/>
      <c r="AA52" s="437" t="s">
        <v>7</v>
      </c>
      <c r="AB52" s="446">
        <v>180.16</v>
      </c>
      <c r="AC52" s="446"/>
      <c r="AD52" s="446">
        <f>32</f>
        <v>32</v>
      </c>
      <c r="AE52" s="446"/>
      <c r="AF52" s="437"/>
      <c r="AG52" s="446">
        <v>44.01</v>
      </c>
      <c r="AH52" s="437"/>
      <c r="AI52" s="437">
        <v>18.015999999999998</v>
      </c>
      <c r="AJ52" s="437"/>
      <c r="AK52" s="437" t="str">
        <f t="shared" si="17"/>
        <v>nej</v>
      </c>
    </row>
    <row r="53" spans="2:37" customFormat="1" ht="21" x14ac:dyDescent="0.35">
      <c r="B53" s="244" t="s">
        <v>47</v>
      </c>
      <c r="C53" s="230" t="str">
        <f>IF(D53="","",IF(ABS(AB53-D53)/AB53&gt;0.02,"F","R"))</f>
        <v/>
      </c>
      <c r="D53" s="138"/>
      <c r="E53" s="230" t="str">
        <f>IF(F53="","",IF(ABS(AD53-F53)/AD53&gt;0.02,"F","R"))</f>
        <v/>
      </c>
      <c r="F53" s="137"/>
      <c r="G53" s="136" t="str">
        <f t="shared" si="16"/>
        <v/>
      </c>
      <c r="H53" s="230" t="str">
        <f>IF(I53="","",IF(ABS(AG53-I53)/AG53&gt;0.02,"F","R"))</f>
        <v/>
      </c>
      <c r="I53" s="137"/>
      <c r="J53" s="230" t="str">
        <f>IF(K53="","",IF(ABS(AI53-K53)/AI53&gt;0.02,"F","R"))</f>
        <v/>
      </c>
      <c r="K53" s="137"/>
      <c r="L53" s="135"/>
      <c r="M53" s="2"/>
      <c r="N53" s="11"/>
      <c r="AA53" s="437" t="s">
        <v>8</v>
      </c>
      <c r="AB53" s="446">
        <f>AB51/AB52</f>
        <v>2.9973357015985793</v>
      </c>
      <c r="AC53" s="446"/>
      <c r="AD53" s="446">
        <f>AB53*AD54/AB54</f>
        <v>17.984014209591475</v>
      </c>
      <c r="AE53" s="446"/>
      <c r="AF53" s="437"/>
      <c r="AG53" s="446">
        <f>AD53*AG54/AD54</f>
        <v>17.984014209591475</v>
      </c>
      <c r="AH53" s="437"/>
      <c r="AI53" s="437">
        <f>AB53*AI54/AB54</f>
        <v>17.984014209591475</v>
      </c>
      <c r="AJ53" s="437"/>
      <c r="AK53" s="437" t="str">
        <f t="shared" si="17"/>
        <v>nej</v>
      </c>
    </row>
    <row r="54" spans="2:37" customFormat="1" ht="21" x14ac:dyDescent="0.35">
      <c r="B54" s="244" t="s">
        <v>90</v>
      </c>
      <c r="C54" s="230" t="str">
        <f>IF(D54="","",IF(D54=AB54,"R","F"))</f>
        <v/>
      </c>
      <c r="D54" s="13"/>
      <c r="E54" s="230" t="str">
        <f>IF(F54="","",IF(ABS(AD54-F54)/AD54&gt;0.02,"F","R"))</f>
        <v/>
      </c>
      <c r="F54" s="12"/>
      <c r="G54" s="136" t="str">
        <f t="shared" si="16"/>
        <v/>
      </c>
      <c r="H54" s="230" t="str">
        <f>IF(I54="","",IF(ABS(AG54-I54)/AG54&gt;0.02,"F","R"))</f>
        <v/>
      </c>
      <c r="I54" s="12"/>
      <c r="J54" s="230" t="str">
        <f>IF(K54="","",IF(ABS(AI54-K54)/AI54&gt;0.02,"F","R"))</f>
        <v/>
      </c>
      <c r="K54" s="12"/>
      <c r="L54" s="135"/>
      <c r="M54" s="2"/>
      <c r="N54" s="11"/>
      <c r="AA54" s="437" t="s">
        <v>9</v>
      </c>
      <c r="AB54" s="446">
        <v>1</v>
      </c>
      <c r="AC54" s="446"/>
      <c r="AD54" s="446">
        <v>6</v>
      </c>
      <c r="AE54" s="446"/>
      <c r="AF54" s="437"/>
      <c r="AG54" s="446">
        <v>6</v>
      </c>
      <c r="AH54" s="437"/>
      <c r="AI54" s="437">
        <v>6</v>
      </c>
      <c r="AJ54" s="437"/>
      <c r="AK54" s="437" t="str">
        <f t="shared" si="17"/>
        <v>nej</v>
      </c>
    </row>
    <row r="55" spans="2:37" customFormat="1" ht="21" x14ac:dyDescent="0.35">
      <c r="B55" s="383" t="str">
        <f t="shared" ref="B55:F56" si="18">IFERROR(IF($AK56="ja","R",""),"")</f>
        <v/>
      </c>
      <c r="C55" s="136" t="str">
        <f t="shared" si="18"/>
        <v/>
      </c>
      <c r="D55" s="136" t="str">
        <f t="shared" si="18"/>
        <v/>
      </c>
      <c r="E55" s="136" t="str">
        <f t="shared" si="18"/>
        <v/>
      </c>
      <c r="F55" s="136" t="str">
        <f t="shared" si="18"/>
        <v/>
      </c>
      <c r="G55" s="136" t="str">
        <f t="shared" si="16"/>
        <v/>
      </c>
      <c r="H55" s="136" t="str">
        <f t="shared" ref="H55:K56" si="19">IFERROR(IF($AK56="ja","R",""),"")</f>
        <v/>
      </c>
      <c r="I55" s="136" t="str">
        <f t="shared" si="19"/>
        <v/>
      </c>
      <c r="J55" s="136" t="str">
        <f t="shared" si="19"/>
        <v/>
      </c>
      <c r="K55" s="136" t="str">
        <f t="shared" si="19"/>
        <v/>
      </c>
      <c r="L55" s="135"/>
      <c r="M55" s="2"/>
      <c r="N55" s="11"/>
      <c r="AA55" s="446"/>
      <c r="AB55" s="446"/>
      <c r="AC55" s="446"/>
      <c r="AD55" s="446"/>
      <c r="AE55" s="437"/>
      <c r="AF55" s="446"/>
      <c r="AG55" s="437"/>
      <c r="AH55" s="437"/>
      <c r="AI55" s="437"/>
      <c r="AJ55" s="437"/>
      <c r="AK55" s="437" t="str">
        <f t="shared" si="17"/>
        <v>nej</v>
      </c>
    </row>
    <row r="56" spans="2:37" customFormat="1" ht="21" x14ac:dyDescent="0.35">
      <c r="B56" s="383" t="str">
        <f t="shared" si="18"/>
        <v/>
      </c>
      <c r="C56" s="136" t="str">
        <f t="shared" si="18"/>
        <v/>
      </c>
      <c r="D56" s="136" t="str">
        <f t="shared" si="18"/>
        <v/>
      </c>
      <c r="E56" s="136" t="str">
        <f t="shared" si="18"/>
        <v/>
      </c>
      <c r="F56" s="136" t="str">
        <f t="shared" si="18"/>
        <v/>
      </c>
      <c r="G56" s="136" t="str">
        <f t="shared" si="16"/>
        <v/>
      </c>
      <c r="H56" s="136" t="str">
        <f t="shared" si="19"/>
        <v/>
      </c>
      <c r="I56" s="136" t="str">
        <f t="shared" si="19"/>
        <v/>
      </c>
      <c r="J56" s="136" t="str">
        <f t="shared" si="19"/>
        <v/>
      </c>
      <c r="K56" s="136" t="str">
        <f t="shared" si="19"/>
        <v/>
      </c>
      <c r="L56" s="135"/>
      <c r="M56" s="2"/>
      <c r="N56" s="11"/>
      <c r="AA56" s="446"/>
      <c r="AB56" s="446"/>
      <c r="AC56" s="446"/>
      <c r="AD56" s="446"/>
      <c r="AE56" s="437"/>
      <c r="AF56" s="446"/>
      <c r="AG56" s="437"/>
      <c r="AH56" s="437"/>
      <c r="AI56" s="437"/>
      <c r="AJ56" s="437"/>
      <c r="AK56" s="437" t="str">
        <f t="shared" si="17"/>
        <v>nej</v>
      </c>
    </row>
    <row r="57" spans="2:37" customFormat="1" ht="21" x14ac:dyDescent="0.35">
      <c r="B57" s="384"/>
      <c r="C57" s="147"/>
      <c r="D57" s="147"/>
      <c r="E57" s="147"/>
      <c r="F57" s="147"/>
      <c r="G57" s="147"/>
      <c r="H57" s="147"/>
      <c r="I57" s="147"/>
      <c r="J57" s="147"/>
      <c r="K57" s="147"/>
      <c r="L57" s="148"/>
      <c r="M57" s="2"/>
      <c r="AA57" s="437"/>
      <c r="AB57" s="446"/>
      <c r="AC57" s="446"/>
      <c r="AD57" s="446"/>
      <c r="AE57" s="437"/>
      <c r="AF57" s="446"/>
      <c r="AG57" s="437"/>
      <c r="AH57" s="437"/>
      <c r="AI57" s="437"/>
      <c r="AJ57" s="437"/>
      <c r="AK57" s="437" t="str">
        <f t="shared" si="17"/>
        <v>nej</v>
      </c>
    </row>
    <row r="58" spans="2:37" customFormat="1" ht="31.5" x14ac:dyDescent="0.35">
      <c r="B58" s="382" t="s">
        <v>996</v>
      </c>
      <c r="C58" s="153"/>
      <c r="D58" s="153"/>
      <c r="E58" s="153"/>
      <c r="F58" s="153"/>
      <c r="G58" s="153"/>
      <c r="H58" s="153"/>
      <c r="I58" s="153"/>
      <c r="J58" s="154"/>
      <c r="K58" s="154"/>
      <c r="L58" s="155"/>
      <c r="M58" s="2"/>
      <c r="AA58" s="444"/>
      <c r="AB58" s="444"/>
      <c r="AC58" s="444"/>
      <c r="AD58" s="437"/>
      <c r="AE58" s="437"/>
      <c r="AF58" s="437"/>
      <c r="AG58" s="437"/>
      <c r="AH58" s="437"/>
      <c r="AI58" s="437"/>
      <c r="AJ58" s="437"/>
      <c r="AK58" s="437"/>
    </row>
    <row r="59" spans="2:37" customFormat="1" ht="21" x14ac:dyDescent="0.35">
      <c r="B59" s="491" t="s">
        <v>1010</v>
      </c>
      <c r="C59" s="489"/>
      <c r="D59" s="489"/>
      <c r="E59" s="489"/>
      <c r="F59" s="489"/>
      <c r="G59" s="489"/>
      <c r="H59" s="489"/>
      <c r="I59" s="489"/>
      <c r="J59" s="489"/>
      <c r="K59" s="489"/>
      <c r="L59" s="490"/>
      <c r="M59" s="2"/>
      <c r="N59" s="11"/>
      <c r="AA59" s="444"/>
      <c r="AB59" s="444"/>
      <c r="AC59" s="444"/>
      <c r="AD59" s="437"/>
      <c r="AE59" s="437"/>
      <c r="AF59" s="437"/>
      <c r="AG59" s="437"/>
      <c r="AH59" s="437"/>
      <c r="AI59" s="437"/>
      <c r="AJ59" s="437"/>
      <c r="AK59" s="437"/>
    </row>
    <row r="60" spans="2:37" customFormat="1" ht="21" x14ac:dyDescent="0.35">
      <c r="B60" s="491" t="s">
        <v>1011</v>
      </c>
      <c r="C60" s="489"/>
      <c r="D60" s="489"/>
      <c r="E60" s="489"/>
      <c r="F60" s="489"/>
      <c r="G60" s="489"/>
      <c r="H60" s="489"/>
      <c r="I60" s="489"/>
      <c r="J60" s="489"/>
      <c r="K60" s="489"/>
      <c r="L60" s="490"/>
      <c r="M60" s="2"/>
      <c r="N60" s="11"/>
      <c r="AA60" s="444"/>
      <c r="AB60" s="444"/>
      <c r="AC60" s="444"/>
      <c r="AD60" s="437"/>
      <c r="AE60" s="437"/>
      <c r="AF60" s="437"/>
      <c r="AG60" s="437"/>
      <c r="AH60" s="437"/>
      <c r="AI60" s="437"/>
      <c r="AJ60" s="437"/>
      <c r="AK60" s="437"/>
    </row>
    <row r="61" spans="2:37" customFormat="1" ht="21" x14ac:dyDescent="0.35">
      <c r="B61" s="383" t="str">
        <f t="shared" ref="B61:K61" si="20">IFERROR(IF($AK62="ja","R",""),"")</f>
        <v/>
      </c>
      <c r="C61" s="136" t="str">
        <f t="shared" si="20"/>
        <v/>
      </c>
      <c r="D61" s="136" t="str">
        <f t="shared" si="20"/>
        <v/>
      </c>
      <c r="E61" s="136" t="str">
        <f t="shared" si="20"/>
        <v/>
      </c>
      <c r="F61" s="136" t="str">
        <f t="shared" si="20"/>
        <v/>
      </c>
      <c r="G61" s="136" t="str">
        <f t="shared" si="20"/>
        <v/>
      </c>
      <c r="H61" s="136" t="str">
        <f t="shared" si="20"/>
        <v/>
      </c>
      <c r="I61" s="136" t="str">
        <f t="shared" si="20"/>
        <v/>
      </c>
      <c r="J61" s="136" t="str">
        <f t="shared" si="20"/>
        <v/>
      </c>
      <c r="K61" s="136" t="str">
        <f t="shared" si="20"/>
        <v/>
      </c>
      <c r="L61" s="132"/>
      <c r="M61" s="2"/>
      <c r="N61" s="11"/>
      <c r="AA61" s="444"/>
      <c r="AB61" s="444"/>
      <c r="AC61" s="444"/>
      <c r="AD61" s="437"/>
      <c r="AE61" s="437"/>
      <c r="AF61" s="437"/>
      <c r="AG61" s="437"/>
      <c r="AH61" s="437"/>
      <c r="AI61" s="437"/>
      <c r="AJ61" s="437"/>
      <c r="AK61" s="437" t="s">
        <v>714</v>
      </c>
    </row>
    <row r="62" spans="2:37" customFormat="1" ht="21" x14ac:dyDescent="0.35">
      <c r="B62" s="238" t="s">
        <v>740</v>
      </c>
      <c r="C62" s="239" t="str">
        <f>IF(C67="R",IF(D67&lt;&gt;1,D67,""),"")&amp;" "&amp;AB62&amp;"    +"</f>
        <v xml:space="preserve"> HCl    +</v>
      </c>
      <c r="D62" s="240"/>
      <c r="E62" s="239" t="str">
        <f>IF(E67="R",IF(F67&lt;&gt;1,F67,""),"")&amp;" "&amp;AD62</f>
        <v xml:space="preserve"> CaCO₃</v>
      </c>
      <c r="F62" s="240"/>
      <c r="G62" s="245" t="s">
        <v>48</v>
      </c>
      <c r="H62" s="239" t="str">
        <f>IF(C67="R",IF(I67&lt;&gt;1,D67,""),"")&amp;" "&amp;AG62&amp;"    +"</f>
        <v xml:space="preserve"> CaCl₂    +</v>
      </c>
      <c r="I62" s="240"/>
      <c r="J62" s="239" t="str">
        <f>IF(J67="R",IF(K67&lt;&gt;1,K67,""),"")&amp;" "&amp;AI62</f>
        <v xml:space="preserve"> H₂CO₃</v>
      </c>
      <c r="K62" s="239"/>
      <c r="L62" s="135"/>
      <c r="M62" s="2"/>
      <c r="N62" s="11"/>
      <c r="AA62" s="444"/>
      <c r="AB62" s="445" t="s">
        <v>77</v>
      </c>
      <c r="AC62" s="445"/>
      <c r="AD62" s="445" t="s">
        <v>997</v>
      </c>
      <c r="AE62" s="445" t="s">
        <v>48</v>
      </c>
      <c r="AF62" s="445"/>
      <c r="AG62" s="445" t="s">
        <v>101</v>
      </c>
      <c r="AH62" s="437"/>
      <c r="AI62" s="437" t="s">
        <v>619</v>
      </c>
      <c r="AJ62" s="437"/>
      <c r="AK62" s="437" t="str" cm="1">
        <f t="array" ref="AK62">IFERROR(IF(AND(C65:C67="R",E64:E67="R",H64:H67="R",J64:J67="R"),"ja","nej"),"nej")</f>
        <v>nej</v>
      </c>
    </row>
    <row r="63" spans="2:37" customFormat="1" ht="21" x14ac:dyDescent="0.35">
      <c r="B63" s="241" t="s">
        <v>283</v>
      </c>
      <c r="C63" s="242" t="str">
        <f>AB63</f>
        <v>Hydrogenchlorid</v>
      </c>
      <c r="D63" s="243"/>
      <c r="E63" s="242" t="str">
        <f>AD63</f>
        <v>Calciumcarbonat</v>
      </c>
      <c r="F63" s="243"/>
      <c r="G63" s="136" t="str">
        <f t="shared" ref="G63:G69" si="21">IFERROR(IF($AK64="ja","R",""),"")</f>
        <v/>
      </c>
      <c r="H63" s="246" t="str">
        <f>AG63</f>
        <v>calciumchlorid</v>
      </c>
      <c r="I63" s="243"/>
      <c r="J63" s="242" t="str">
        <f>AI63</f>
        <v>kulsyre</v>
      </c>
      <c r="K63" s="243"/>
      <c r="L63" s="135"/>
      <c r="M63" s="2"/>
      <c r="N63" s="11"/>
      <c r="AA63" s="444"/>
      <c r="AB63" s="437" t="s">
        <v>1008</v>
      </c>
      <c r="AC63" s="437"/>
      <c r="AD63" s="437" t="s">
        <v>1009</v>
      </c>
      <c r="AE63" s="437"/>
      <c r="AF63" s="437"/>
      <c r="AG63" s="437" t="s">
        <v>347</v>
      </c>
      <c r="AH63" s="437"/>
      <c r="AI63" s="437" t="s">
        <v>621</v>
      </c>
      <c r="AJ63" s="437"/>
      <c r="AK63" s="437" t="str">
        <f>IF(AK62="ja","ja","nej")</f>
        <v>nej</v>
      </c>
    </row>
    <row r="64" spans="2:37" customFormat="1" ht="21" x14ac:dyDescent="0.35">
      <c r="B64" s="244" t="s">
        <v>46</v>
      </c>
      <c r="C64" s="248"/>
      <c r="D64" s="251">
        <f>AB64</f>
        <v>50</v>
      </c>
      <c r="E64" s="230" t="str">
        <f>IF(F64="","",IF(ABS(AD64-F64)/AD64&gt;0.02,"F","R"))</f>
        <v/>
      </c>
      <c r="F64" s="145"/>
      <c r="G64" s="136" t="str">
        <f t="shared" si="21"/>
        <v/>
      </c>
      <c r="H64" s="230" t="str">
        <f>IF(I64="","",IF(ABS(AG64-I64)/AG64&gt;0.02,"F","R"))</f>
        <v/>
      </c>
      <c r="I64" s="145"/>
      <c r="J64" s="230" t="str">
        <f>IF(K64="","",IF(ABS(AI64-K64)/AI64&gt;0.02,"F","R"))</f>
        <v/>
      </c>
      <c r="K64" s="145"/>
      <c r="L64" s="135"/>
      <c r="M64" s="2"/>
      <c r="N64" s="11"/>
      <c r="AA64" s="437" t="s">
        <v>6</v>
      </c>
      <c r="AB64" s="447">
        <v>50</v>
      </c>
      <c r="AC64" s="446"/>
      <c r="AD64" s="446">
        <f>AD65*AD66</f>
        <v>68.633770365900489</v>
      </c>
      <c r="AE64" s="446"/>
      <c r="AF64" s="437"/>
      <c r="AG64" s="446">
        <f>AG66*AG65</f>
        <v>76.101267211585935</v>
      </c>
      <c r="AH64" s="437"/>
      <c r="AI64" s="437">
        <f>AI65*AI66</f>
        <v>42.531817433759393</v>
      </c>
      <c r="AJ64" s="437"/>
      <c r="AK64" s="437" t="str">
        <f t="shared" ref="AK64:AK69" si="22">IF(AK63="ja","ja","nej")</f>
        <v>nej</v>
      </c>
    </row>
    <row r="65" spans="2:37" customFormat="1" ht="21" x14ac:dyDescent="0.35">
      <c r="B65" s="244" t="s">
        <v>45</v>
      </c>
      <c r="C65" s="230" t="str">
        <f>IF(D65="","",IF(ABS(AB65-D65)/AB65&gt;0.02,"F","R"))</f>
        <v/>
      </c>
      <c r="D65" s="141"/>
      <c r="E65" s="230" t="str">
        <f>IF(F65="","",IF(ABS(AD65-F65)/AD65&gt;0.02,"F","R"))</f>
        <v/>
      </c>
      <c r="F65" s="141"/>
      <c r="G65" s="136" t="str">
        <f t="shared" si="21"/>
        <v/>
      </c>
      <c r="H65" s="230" t="str">
        <f>IF(I65="","",IF(ABS(AG65-I65)/AG65&gt;0.02,"F","R"))</f>
        <v/>
      </c>
      <c r="I65" s="141"/>
      <c r="J65" s="230" t="str">
        <f>IF(K65="","",IF(ABS(AI65-K65)/AI65&gt;0.02,"F","R"))</f>
        <v/>
      </c>
      <c r="K65" s="141"/>
      <c r="L65" s="135"/>
      <c r="M65" s="2"/>
      <c r="N65" s="11"/>
      <c r="AA65" s="437" t="s">
        <v>7</v>
      </c>
      <c r="AB65" s="446">
        <v>36.457999999999998</v>
      </c>
      <c r="AC65" s="446"/>
      <c r="AD65" s="446">
        <v>100.09</v>
      </c>
      <c r="AE65" s="446"/>
      <c r="AF65" s="437"/>
      <c r="AG65" s="446">
        <v>110.98</v>
      </c>
      <c r="AH65" s="437"/>
      <c r="AI65" s="437">
        <v>62.024999999999999</v>
      </c>
      <c r="AJ65" s="437"/>
      <c r="AK65" s="437" t="str">
        <f t="shared" si="22"/>
        <v>nej</v>
      </c>
    </row>
    <row r="66" spans="2:37" customFormat="1" ht="21" x14ac:dyDescent="0.35">
      <c r="B66" s="244" t="s">
        <v>47</v>
      </c>
      <c r="C66" s="230" t="str">
        <f>IF(D66="","",IF(ABS(AB66-D66)/AB66&gt;0.02,"F","R"))</f>
        <v/>
      </c>
      <c r="D66" s="138"/>
      <c r="E66" s="230" t="str">
        <f>IF(F66="","",IF(ABS(AD66-F66)/AD66&gt;0.02,"F","R"))</f>
        <v/>
      </c>
      <c r="F66" s="253"/>
      <c r="G66" s="136" t="str">
        <f t="shared" si="21"/>
        <v/>
      </c>
      <c r="H66" s="230" t="str">
        <f>IF(I66="","",IF(ABS(AG66-I66)/AG66&gt;0.02,"F","R"))</f>
        <v/>
      </c>
      <c r="I66" s="253"/>
      <c r="J66" s="230" t="str">
        <f>IF(K66="","",IF(ABS(AI66-K66)/AI66&gt;0.02,"F","R"))</f>
        <v/>
      </c>
      <c r="K66" s="253"/>
      <c r="L66" s="135"/>
      <c r="M66" s="2"/>
      <c r="N66" s="11"/>
      <c r="AA66" s="437" t="s">
        <v>8</v>
      </c>
      <c r="AB66" s="446">
        <f>AB64/AB65</f>
        <v>1.371441110318723</v>
      </c>
      <c r="AC66" s="446"/>
      <c r="AD66" s="446">
        <f>AB66*AD67/AB67</f>
        <v>0.68572055515936148</v>
      </c>
      <c r="AE66" s="446"/>
      <c r="AF66" s="437"/>
      <c r="AG66" s="446">
        <f>AD66*AG67/AD67</f>
        <v>0.68572055515936148</v>
      </c>
      <c r="AH66" s="437"/>
      <c r="AI66" s="437">
        <f>AB66*AI67/AB67</f>
        <v>0.68572055515936148</v>
      </c>
      <c r="AJ66" s="437"/>
      <c r="AK66" s="437" t="str">
        <f t="shared" si="22"/>
        <v>nej</v>
      </c>
    </row>
    <row r="67" spans="2:37" customFormat="1" ht="21" x14ac:dyDescent="0.35">
      <c r="B67" s="244" t="s">
        <v>90</v>
      </c>
      <c r="C67" s="230" t="str">
        <f>IF(D67="","",IF(D67=AB67,"R","F"))</f>
        <v/>
      </c>
      <c r="D67" s="13"/>
      <c r="E67" s="230" t="str">
        <f>IF(F67="","",IF(ABS(AD67-F67)/AD67&gt;0.02,"F","R"))</f>
        <v/>
      </c>
      <c r="F67" s="12"/>
      <c r="G67" s="136" t="str">
        <f t="shared" si="21"/>
        <v/>
      </c>
      <c r="H67" s="230" t="str">
        <f>IF(I67="","",IF(ABS(AG67-I67)/AG67&gt;0.02,"F","R"))</f>
        <v/>
      </c>
      <c r="I67" s="12"/>
      <c r="J67" s="230" t="str">
        <f>IF(K67="","",IF(ABS(AI67-K67)/AI67&gt;0.02,"F","R"))</f>
        <v/>
      </c>
      <c r="K67" s="12"/>
      <c r="L67" s="135"/>
      <c r="M67" s="2"/>
      <c r="N67" s="11"/>
      <c r="AA67" s="437" t="s">
        <v>9</v>
      </c>
      <c r="AB67" s="446">
        <v>2</v>
      </c>
      <c r="AC67" s="446"/>
      <c r="AD67" s="446">
        <v>1</v>
      </c>
      <c r="AE67" s="446"/>
      <c r="AF67" s="437"/>
      <c r="AG67" s="446">
        <v>1</v>
      </c>
      <c r="AH67" s="437"/>
      <c r="AI67" s="437">
        <v>1</v>
      </c>
      <c r="AJ67" s="437"/>
      <c r="AK67" s="437" t="str">
        <f t="shared" si="22"/>
        <v>nej</v>
      </c>
    </row>
    <row r="68" spans="2:37" customFormat="1" ht="21" x14ac:dyDescent="0.35">
      <c r="B68" s="383" t="str">
        <f t="shared" ref="B68:F69" si="23">IFERROR(IF($AK69="ja","R",""),"")</f>
        <v/>
      </c>
      <c r="C68" s="136" t="str">
        <f t="shared" si="23"/>
        <v/>
      </c>
      <c r="D68" s="136" t="str">
        <f t="shared" si="23"/>
        <v/>
      </c>
      <c r="E68" s="136" t="str">
        <f t="shared" si="23"/>
        <v/>
      </c>
      <c r="F68" s="136" t="str">
        <f t="shared" si="23"/>
        <v/>
      </c>
      <c r="G68" s="136" t="str">
        <f t="shared" si="21"/>
        <v/>
      </c>
      <c r="H68" s="136" t="str">
        <f t="shared" ref="H68:K69" si="24">IFERROR(IF($AK69="ja","R",""),"")</f>
        <v/>
      </c>
      <c r="I68" s="136" t="str">
        <f t="shared" si="24"/>
        <v/>
      </c>
      <c r="J68" s="136" t="str">
        <f t="shared" si="24"/>
        <v/>
      </c>
      <c r="K68" s="136" t="str">
        <f t="shared" si="24"/>
        <v/>
      </c>
      <c r="L68" s="135"/>
      <c r="M68" s="2"/>
      <c r="N68" s="11"/>
      <c r="AA68" s="446"/>
      <c r="AB68" s="446"/>
      <c r="AC68" s="446"/>
      <c r="AD68" s="446"/>
      <c r="AE68" s="437"/>
      <c r="AF68" s="446"/>
      <c r="AG68" s="437"/>
      <c r="AH68" s="437"/>
      <c r="AI68" s="437"/>
      <c r="AJ68" s="437"/>
      <c r="AK68" s="437" t="str">
        <f t="shared" si="22"/>
        <v>nej</v>
      </c>
    </row>
    <row r="69" spans="2:37" customFormat="1" ht="21" x14ac:dyDescent="0.35">
      <c r="B69" s="383" t="str">
        <f t="shared" si="23"/>
        <v/>
      </c>
      <c r="C69" s="136" t="str">
        <f t="shared" si="23"/>
        <v/>
      </c>
      <c r="D69" s="136" t="str">
        <f t="shared" si="23"/>
        <v/>
      </c>
      <c r="E69" s="136" t="str">
        <f t="shared" si="23"/>
        <v/>
      </c>
      <c r="F69" s="136" t="str">
        <f t="shared" si="23"/>
        <v/>
      </c>
      <c r="G69" s="136" t="str">
        <f t="shared" si="21"/>
        <v/>
      </c>
      <c r="H69" s="136" t="str">
        <f t="shared" si="24"/>
        <v/>
      </c>
      <c r="I69" s="136" t="str">
        <f t="shared" si="24"/>
        <v/>
      </c>
      <c r="J69" s="136" t="str">
        <f t="shared" si="24"/>
        <v/>
      </c>
      <c r="K69" s="136" t="str">
        <f t="shared" si="24"/>
        <v/>
      </c>
      <c r="L69" s="135"/>
      <c r="M69" s="2"/>
      <c r="N69" s="11"/>
      <c r="AA69" s="446"/>
      <c r="AB69" s="446"/>
      <c r="AC69" s="446"/>
      <c r="AD69" s="446"/>
      <c r="AE69" s="437"/>
      <c r="AF69" s="446"/>
      <c r="AG69" s="437"/>
      <c r="AH69" s="437"/>
      <c r="AI69" s="437"/>
      <c r="AJ69" s="437"/>
      <c r="AK69" s="437" t="str">
        <f t="shared" si="22"/>
        <v>nej</v>
      </c>
    </row>
    <row r="70" spans="2:37" customFormat="1" ht="21" x14ac:dyDescent="0.35">
      <c r="B70" s="384"/>
      <c r="C70" s="147"/>
      <c r="D70" s="147"/>
      <c r="E70" s="147"/>
      <c r="F70" s="147"/>
      <c r="G70" s="147"/>
      <c r="H70" s="147"/>
      <c r="I70" s="147"/>
      <c r="J70" s="147"/>
      <c r="K70" s="147"/>
      <c r="L70" s="148"/>
      <c r="M70" s="2"/>
      <c r="AA70" s="437"/>
      <c r="AB70" s="446"/>
      <c r="AC70" s="446"/>
      <c r="AD70" s="446"/>
      <c r="AE70" s="437"/>
      <c r="AF70" s="446"/>
      <c r="AG70" s="437"/>
      <c r="AH70" s="437"/>
      <c r="AI70" s="437"/>
      <c r="AJ70" s="437"/>
      <c r="AK70" s="437"/>
    </row>
    <row r="71" spans="2:37" customFormat="1" ht="31.5" x14ac:dyDescent="0.35">
      <c r="B71" s="382" t="s">
        <v>1007</v>
      </c>
      <c r="C71" s="153"/>
      <c r="D71" s="153"/>
      <c r="E71" s="153"/>
      <c r="F71" s="153"/>
      <c r="G71" s="153"/>
      <c r="H71" s="153"/>
      <c r="I71" s="153"/>
      <c r="J71" s="154"/>
      <c r="K71" s="154"/>
      <c r="L71" s="155"/>
      <c r="M71" s="2"/>
      <c r="AA71" s="444"/>
      <c r="AB71" s="444"/>
      <c r="AC71" s="444"/>
      <c r="AD71" s="437"/>
      <c r="AE71" s="437"/>
      <c r="AF71" s="437"/>
      <c r="AG71" s="437"/>
      <c r="AH71" s="437"/>
      <c r="AI71" s="437"/>
      <c r="AJ71" s="437"/>
      <c r="AK71" s="437"/>
    </row>
    <row r="72" spans="2:37" customFormat="1" ht="39.75" customHeight="1" x14ac:dyDescent="0.35">
      <c r="B72" s="488" t="s">
        <v>998</v>
      </c>
      <c r="C72" s="489"/>
      <c r="D72" s="489"/>
      <c r="E72" s="489"/>
      <c r="F72" s="489"/>
      <c r="G72" s="489"/>
      <c r="H72" s="489"/>
      <c r="I72" s="489"/>
      <c r="J72" s="489"/>
      <c r="K72" s="489"/>
      <c r="L72" s="490"/>
      <c r="N72" s="11"/>
      <c r="AA72" s="444"/>
      <c r="AB72" s="444"/>
      <c r="AC72" s="444"/>
      <c r="AD72" s="437"/>
      <c r="AE72" s="437"/>
      <c r="AF72" s="437"/>
      <c r="AG72" s="437"/>
      <c r="AH72" s="437"/>
      <c r="AI72" s="437"/>
      <c r="AJ72" s="437"/>
      <c r="AK72" s="437"/>
    </row>
    <row r="73" spans="2:37" customFormat="1" ht="21" customHeight="1" x14ac:dyDescent="0.35">
      <c r="B73" s="488" t="s">
        <v>1005</v>
      </c>
      <c r="C73" s="489"/>
      <c r="D73" s="489"/>
      <c r="E73" s="489"/>
      <c r="F73" s="489"/>
      <c r="G73" s="489"/>
      <c r="H73" s="489"/>
      <c r="I73" s="489"/>
      <c r="J73" s="489"/>
      <c r="K73" s="489"/>
      <c r="L73" s="490"/>
      <c r="M73" s="2"/>
      <c r="N73" s="11"/>
      <c r="AA73" s="444"/>
      <c r="AB73" s="444"/>
      <c r="AC73" s="444"/>
      <c r="AD73" s="437"/>
      <c r="AE73" s="437"/>
      <c r="AF73" s="437"/>
      <c r="AG73" s="437"/>
      <c r="AH73" s="437"/>
      <c r="AI73" s="437"/>
      <c r="AJ73" s="437"/>
      <c r="AK73" s="437"/>
    </row>
    <row r="74" spans="2:37" customFormat="1" ht="21" x14ac:dyDescent="0.35">
      <c r="B74" s="383" t="str">
        <f t="shared" ref="B74:K74" si="25">IFERROR(IF($AK75="ja","R",""),"")</f>
        <v/>
      </c>
      <c r="C74" s="136" t="str">
        <f t="shared" si="25"/>
        <v/>
      </c>
      <c r="D74" s="136" t="str">
        <f t="shared" si="25"/>
        <v/>
      </c>
      <c r="E74" s="136" t="str">
        <f t="shared" si="25"/>
        <v/>
      </c>
      <c r="F74" s="136" t="str">
        <f t="shared" si="25"/>
        <v/>
      </c>
      <c r="G74" s="136" t="str">
        <f t="shared" si="25"/>
        <v/>
      </c>
      <c r="H74" s="136" t="str">
        <f t="shared" si="25"/>
        <v/>
      </c>
      <c r="I74" s="136" t="str">
        <f t="shared" si="25"/>
        <v/>
      </c>
      <c r="J74" s="136" t="str">
        <f t="shared" si="25"/>
        <v/>
      </c>
      <c r="K74" s="136" t="str">
        <f t="shared" si="25"/>
        <v/>
      </c>
      <c r="L74" s="132"/>
      <c r="M74" s="2"/>
      <c r="N74" s="11"/>
      <c r="AA74" s="444"/>
      <c r="AB74" s="444"/>
      <c r="AC74" s="444"/>
      <c r="AD74" s="437"/>
      <c r="AE74" s="437"/>
      <c r="AF74" s="437"/>
      <c r="AG74" s="437"/>
      <c r="AH74" s="437"/>
      <c r="AI74" s="437"/>
      <c r="AJ74" s="437"/>
      <c r="AK74" s="437" t="s">
        <v>714</v>
      </c>
    </row>
    <row r="75" spans="2:37" customFormat="1" ht="21" x14ac:dyDescent="0.35">
      <c r="B75" s="238" t="s">
        <v>995</v>
      </c>
      <c r="C75" s="239" t="str">
        <f>IF(C80="R",IF(D80&lt;&gt;1,D80,""),"")&amp;" "&amp;AB75&amp;"    +"</f>
        <v xml:space="preserve"> C₇H₈    +</v>
      </c>
      <c r="D75" s="240"/>
      <c r="E75" s="239" t="str">
        <f>IF(E80="R",IF(F80&lt;&gt;1,F80,""),"")&amp;" "&amp;AD75</f>
        <v xml:space="preserve"> HNO₃</v>
      </c>
      <c r="F75" s="240"/>
      <c r="G75" s="245" t="s">
        <v>48</v>
      </c>
      <c r="H75" s="239" t="str">
        <f>IF(C80="R",IF(I80&lt;&gt;1,I80,""),"")&amp;" "&amp;AG75&amp;"    +"</f>
        <v xml:space="preserve"> C₇H₅N₃O₆    +</v>
      </c>
      <c r="I75" s="240"/>
      <c r="J75" s="239" t="str">
        <f>IF(J80="R",IF(K80&lt;&gt;1,K80,""),"")&amp;" "&amp;AI75</f>
        <v xml:space="preserve"> H₂O</v>
      </c>
      <c r="K75" s="239"/>
      <c r="L75" s="135"/>
      <c r="M75" s="2"/>
      <c r="N75" s="11"/>
      <c r="AA75" s="444"/>
      <c r="AB75" s="445" t="s">
        <v>1097</v>
      </c>
      <c r="AC75" s="445"/>
      <c r="AD75" s="445" t="s">
        <v>120</v>
      </c>
      <c r="AE75" s="445" t="s">
        <v>48</v>
      </c>
      <c r="AF75" s="445"/>
      <c r="AG75" s="445" t="s">
        <v>1006</v>
      </c>
      <c r="AH75" s="437"/>
      <c r="AI75" s="437" t="s">
        <v>50</v>
      </c>
      <c r="AJ75" s="437"/>
      <c r="AK75" s="437" t="str" cm="1">
        <f t="array" ref="AK75">IFERROR(IF(AND(C78:C80="R",E77:E80="R",H77:H80="R",J77:J80="R"),"ja","nej"),"nej")</f>
        <v>nej</v>
      </c>
    </row>
    <row r="76" spans="2:37" customFormat="1" ht="21" x14ac:dyDescent="0.35">
      <c r="B76" s="241" t="s">
        <v>283</v>
      </c>
      <c r="C76" s="242" t="str">
        <f>AB76</f>
        <v>toluene</v>
      </c>
      <c r="D76" s="243"/>
      <c r="E76" s="242" t="str">
        <f>AD76</f>
        <v>Salpetersyre</v>
      </c>
      <c r="F76" s="243"/>
      <c r="G76" s="136" t="str">
        <f t="shared" ref="G76:G82" si="26">IFERROR(IF($AK77="ja","R",""),"")</f>
        <v/>
      </c>
      <c r="H76" s="246" t="str">
        <f>AG76</f>
        <v>Trinitrotoluene</v>
      </c>
      <c r="I76" s="243"/>
      <c r="J76" s="242" t="str">
        <f>AI76</f>
        <v>Vand</v>
      </c>
      <c r="K76" s="243"/>
      <c r="L76" s="135"/>
      <c r="M76" s="2"/>
      <c r="N76" s="11"/>
      <c r="AA76" s="444"/>
      <c r="AB76" s="437" t="s">
        <v>1000</v>
      </c>
      <c r="AC76" s="437"/>
      <c r="AD76" s="437" t="s">
        <v>1002</v>
      </c>
      <c r="AE76" s="437"/>
      <c r="AF76" s="437"/>
      <c r="AG76" s="437" t="s">
        <v>1001</v>
      </c>
      <c r="AH76" s="437"/>
      <c r="AI76" s="437" t="s">
        <v>728</v>
      </c>
      <c r="AJ76" s="437"/>
      <c r="AK76" s="437" t="str">
        <f>IF(AK75="ja","ja","nej")</f>
        <v>nej</v>
      </c>
    </row>
    <row r="77" spans="2:37" customFormat="1" ht="21" x14ac:dyDescent="0.35">
      <c r="B77" s="244" t="s">
        <v>46</v>
      </c>
      <c r="C77" s="248"/>
      <c r="D77" s="249">
        <f>AB77</f>
        <v>100</v>
      </c>
      <c r="E77" s="230" t="str">
        <f>IF(F77="","",IF(ABS(AD77-F77)/AD77&gt;0.02,"F","R"))</f>
        <v/>
      </c>
      <c r="F77" s="142"/>
      <c r="G77" s="136" t="str">
        <f t="shared" si="26"/>
        <v/>
      </c>
      <c r="H77" s="230" t="str">
        <f>IF(I77="","",IF(ABS(AG77-I77)/AG77&gt;0.02,"F","R"))</f>
        <v/>
      </c>
      <c r="I77" s="142"/>
      <c r="J77" s="230" t="str">
        <f>IF(K77="","",IF(ABS(AI77-K77)/AI77&gt;0.02,"F","R"))</f>
        <v/>
      </c>
      <c r="K77" s="252"/>
      <c r="L77" s="135"/>
      <c r="M77" s="2"/>
      <c r="N77" s="11"/>
      <c r="AA77" s="437" t="s">
        <v>6</v>
      </c>
      <c r="AB77" s="448">
        <v>100</v>
      </c>
      <c r="AC77" s="446"/>
      <c r="AD77" s="446">
        <f>AD78*AD79</f>
        <v>205.15519861080963</v>
      </c>
      <c r="AE77" s="446"/>
      <c r="AF77" s="437"/>
      <c r="AG77" s="446">
        <f>AG79*AG78</f>
        <v>246.50531799435637</v>
      </c>
      <c r="AH77" s="437"/>
      <c r="AI77" s="437">
        <f>AI78*AI79</f>
        <v>58.658563056218789</v>
      </c>
      <c r="AJ77" s="437"/>
      <c r="AK77" s="437" t="str">
        <f t="shared" ref="AK77:AK83" si="27">IF(AK76="ja","ja","nej")</f>
        <v>nej</v>
      </c>
    </row>
    <row r="78" spans="2:37" customFormat="1" ht="21" x14ac:dyDescent="0.35">
      <c r="B78" s="244" t="s">
        <v>45</v>
      </c>
      <c r="C78" s="230" t="str">
        <f>IF(D78="","",IF(ABS(AB78-D78)/AB78&gt;0.02,"F","R"))</f>
        <v/>
      </c>
      <c r="D78" s="141"/>
      <c r="E78" s="230" t="str">
        <f>IF(F78="","",IF(ABS(AD78-F78)/AD78&gt;0.02,"F","R"))</f>
        <v/>
      </c>
      <c r="F78" s="141"/>
      <c r="G78" s="136" t="str">
        <f t="shared" si="26"/>
        <v/>
      </c>
      <c r="H78" s="230" t="str">
        <f>IF(I78="","",IF(ABS(AG78-I78)/AG78&gt;0.02,"F","R"))</f>
        <v/>
      </c>
      <c r="I78" s="141"/>
      <c r="J78" s="230" t="str">
        <f>IF(K78="","",IF(ABS(AI78-K78)/AI78&gt;0.02,"F","R"))</f>
        <v/>
      </c>
      <c r="K78" s="141"/>
      <c r="L78" s="135"/>
      <c r="M78" s="2"/>
      <c r="N78" s="11"/>
      <c r="AA78" s="437" t="s">
        <v>7</v>
      </c>
      <c r="AB78" s="446">
        <v>92.14</v>
      </c>
      <c r="AC78" s="446"/>
      <c r="AD78" s="446">
        <v>63.01</v>
      </c>
      <c r="AE78" s="446"/>
      <c r="AF78" s="437"/>
      <c r="AG78" s="446">
        <v>227.13</v>
      </c>
      <c r="AH78" s="437"/>
      <c r="AI78" s="437">
        <v>18.015999999999998</v>
      </c>
      <c r="AJ78" s="437"/>
      <c r="AK78" s="437" t="str">
        <f t="shared" si="27"/>
        <v>nej</v>
      </c>
    </row>
    <row r="79" spans="2:37" customFormat="1" ht="21" x14ac:dyDescent="0.35">
      <c r="B79" s="244" t="s">
        <v>47</v>
      </c>
      <c r="C79" s="230" t="str">
        <f>IF(D79="","",IF(ABS(AB79-D79)/AB79&gt;0.02,"F","R"))</f>
        <v/>
      </c>
      <c r="D79" s="138"/>
      <c r="E79" s="230" t="str">
        <f>IF(F79="","",IF(ABS(AD79-F79)/AD79&gt;0.02,"F","R"))</f>
        <v/>
      </c>
      <c r="F79" s="138"/>
      <c r="G79" s="136" t="str">
        <f t="shared" si="26"/>
        <v/>
      </c>
      <c r="H79" s="230" t="str">
        <f>IF(I79="","",IF(ABS(AG79-I79)/AG79&gt;0.02,"F","R"))</f>
        <v/>
      </c>
      <c r="I79" s="138"/>
      <c r="J79" s="230" t="str">
        <f>IF(K79="","",IF(ABS(AI79-K79)/AI79&gt;0.02,"F","R"))</f>
        <v/>
      </c>
      <c r="K79" s="138"/>
      <c r="L79" s="135"/>
      <c r="M79" s="2"/>
      <c r="N79" s="11"/>
      <c r="AA79" s="437" t="s">
        <v>8</v>
      </c>
      <c r="AB79" s="446">
        <f>AB77/AB78</f>
        <v>1.0853049706967657</v>
      </c>
      <c r="AC79" s="446"/>
      <c r="AD79" s="446">
        <f>AB79*AD80/AB80</f>
        <v>3.2559149120902973</v>
      </c>
      <c r="AE79" s="446"/>
      <c r="AF79" s="437"/>
      <c r="AG79" s="446">
        <f>AD79*AG80/AD80</f>
        <v>1.0853049706967657</v>
      </c>
      <c r="AH79" s="437"/>
      <c r="AI79" s="437">
        <f>AB79*AI80/AB80</f>
        <v>3.2559149120902973</v>
      </c>
      <c r="AJ79" s="437"/>
      <c r="AK79" s="437" t="str">
        <f t="shared" si="27"/>
        <v>nej</v>
      </c>
    </row>
    <row r="80" spans="2:37" customFormat="1" ht="21" x14ac:dyDescent="0.35">
      <c r="B80" s="244" t="s">
        <v>90</v>
      </c>
      <c r="C80" s="230" t="str">
        <f>IF(D80="","",IF(D80=AB80,"R","F"))</f>
        <v/>
      </c>
      <c r="D80" s="13"/>
      <c r="E80" s="230" t="str">
        <f>IF(F80="","",IF(ABS(AD80-F80)/AD80&gt;0.02,"F","R"))</f>
        <v/>
      </c>
      <c r="F80" s="12"/>
      <c r="G80" s="136" t="str">
        <f t="shared" si="26"/>
        <v/>
      </c>
      <c r="H80" s="230" t="str">
        <f>IF(I80="","",IF(ABS(AG80-I80)/AG80&gt;0.02,"F","R"))</f>
        <v/>
      </c>
      <c r="I80" s="12"/>
      <c r="J80" s="230" t="str">
        <f>IF(K80="","",IF(ABS(AI80-K80)/AI80&gt;0.02,"F","R"))</f>
        <v/>
      </c>
      <c r="K80" s="12"/>
      <c r="L80" s="135"/>
      <c r="M80" s="2"/>
      <c r="N80" s="11"/>
      <c r="AA80" s="437" t="s">
        <v>9</v>
      </c>
      <c r="AB80" s="446">
        <v>1</v>
      </c>
      <c r="AC80" s="446"/>
      <c r="AD80" s="446">
        <v>3</v>
      </c>
      <c r="AE80" s="446"/>
      <c r="AF80" s="437"/>
      <c r="AG80" s="446">
        <v>1</v>
      </c>
      <c r="AH80" s="437"/>
      <c r="AI80" s="437">
        <v>3</v>
      </c>
      <c r="AJ80" s="437"/>
      <c r="AK80" s="437" t="str">
        <f t="shared" si="27"/>
        <v>nej</v>
      </c>
    </row>
    <row r="81" spans="2:37" customFormat="1" ht="21" x14ac:dyDescent="0.35">
      <c r="B81" s="383" t="str">
        <f t="shared" ref="B81:F82" si="28">IFERROR(IF($AK82="ja","R",""),"")</f>
        <v/>
      </c>
      <c r="C81" s="136" t="str">
        <f t="shared" si="28"/>
        <v/>
      </c>
      <c r="D81" s="136" t="str">
        <f t="shared" si="28"/>
        <v/>
      </c>
      <c r="E81" s="136" t="str">
        <f t="shared" si="28"/>
        <v/>
      </c>
      <c r="F81" s="136" t="str">
        <f t="shared" si="28"/>
        <v/>
      </c>
      <c r="G81" s="136" t="str">
        <f t="shared" si="26"/>
        <v/>
      </c>
      <c r="H81" s="136" t="str">
        <f t="shared" ref="H81:K82" si="29">IFERROR(IF($AK82="ja","R",""),"")</f>
        <v/>
      </c>
      <c r="I81" s="136" t="str">
        <f t="shared" si="29"/>
        <v/>
      </c>
      <c r="J81" s="136" t="str">
        <f t="shared" si="29"/>
        <v/>
      </c>
      <c r="K81" s="136" t="str">
        <f t="shared" si="29"/>
        <v/>
      </c>
      <c r="L81" s="135"/>
      <c r="M81" s="2"/>
      <c r="N81" s="11"/>
      <c r="AA81" s="446"/>
      <c r="AB81" s="446"/>
      <c r="AC81" s="446"/>
      <c r="AD81" s="446"/>
      <c r="AE81" s="437"/>
      <c r="AF81" s="446"/>
      <c r="AG81" s="437"/>
      <c r="AH81" s="437"/>
      <c r="AI81" s="437"/>
      <c r="AJ81" s="437"/>
      <c r="AK81" s="437" t="str">
        <f t="shared" si="27"/>
        <v>nej</v>
      </c>
    </row>
    <row r="82" spans="2:37" customFormat="1" ht="21" x14ac:dyDescent="0.35">
      <c r="B82" s="385" t="str">
        <f t="shared" si="28"/>
        <v/>
      </c>
      <c r="C82" s="386" t="str">
        <f t="shared" si="28"/>
        <v/>
      </c>
      <c r="D82" s="386" t="str">
        <f t="shared" si="28"/>
        <v/>
      </c>
      <c r="E82" s="386" t="str">
        <f t="shared" si="28"/>
        <v/>
      </c>
      <c r="F82" s="386" t="str">
        <f t="shared" si="28"/>
        <v/>
      </c>
      <c r="G82" s="386" t="str">
        <f t="shared" si="26"/>
        <v/>
      </c>
      <c r="H82" s="386" t="str">
        <f t="shared" si="29"/>
        <v/>
      </c>
      <c r="I82" s="386" t="str">
        <f t="shared" si="29"/>
        <v/>
      </c>
      <c r="J82" s="386" t="str">
        <f t="shared" si="29"/>
        <v/>
      </c>
      <c r="K82" s="386" t="str">
        <f t="shared" si="29"/>
        <v/>
      </c>
      <c r="L82" s="387"/>
      <c r="M82" s="2"/>
      <c r="N82" s="11"/>
      <c r="AA82" s="446"/>
      <c r="AB82" s="446"/>
      <c r="AC82" s="446"/>
      <c r="AD82" s="446"/>
      <c r="AE82" s="437"/>
      <c r="AF82" s="446"/>
      <c r="AG82" s="437"/>
      <c r="AH82" s="437"/>
      <c r="AI82" s="437"/>
      <c r="AJ82" s="437"/>
      <c r="AK82" s="437" t="str">
        <f t="shared" si="27"/>
        <v>nej</v>
      </c>
    </row>
    <row r="83" spans="2:37" customFormat="1" ht="18.75" x14ac:dyDescent="0.25">
      <c r="B83" s="147"/>
      <c r="C83" s="147"/>
      <c r="D83" s="147"/>
      <c r="E83" s="147"/>
      <c r="F83" s="147"/>
      <c r="G83" s="147"/>
      <c r="H83" s="147"/>
      <c r="I83" s="147"/>
      <c r="J83" s="147"/>
      <c r="K83" s="147"/>
      <c r="AA83" s="437"/>
      <c r="AB83" s="446"/>
      <c r="AC83" s="446"/>
      <c r="AD83" s="446"/>
      <c r="AE83" s="437"/>
      <c r="AF83" s="446"/>
      <c r="AG83" s="437"/>
      <c r="AH83" s="437"/>
      <c r="AI83" s="437"/>
      <c r="AJ83" s="437"/>
      <c r="AK83" s="437" t="str">
        <f t="shared" si="27"/>
        <v>nej</v>
      </c>
    </row>
    <row r="84" spans="2:37" customFormat="1" x14ac:dyDescent="0.25">
      <c r="M84" s="3"/>
      <c r="N84" s="11"/>
      <c r="AA84" s="437"/>
      <c r="AB84" s="437"/>
      <c r="AC84" s="437"/>
      <c r="AD84" s="437"/>
      <c r="AE84" s="437"/>
      <c r="AF84" s="437"/>
      <c r="AG84" s="437"/>
      <c r="AH84" s="437"/>
      <c r="AI84" s="437"/>
      <c r="AJ84" s="437"/>
      <c r="AK84" s="437"/>
    </row>
    <row r="85" spans="2:37" customFormat="1" x14ac:dyDescent="0.25">
      <c r="M85" s="3"/>
      <c r="N85" s="11"/>
      <c r="AA85" s="437"/>
      <c r="AB85" s="437"/>
      <c r="AC85" s="437"/>
      <c r="AD85" s="437"/>
      <c r="AE85" s="437"/>
      <c r="AF85" s="437"/>
      <c r="AG85" s="437"/>
      <c r="AH85" s="437"/>
      <c r="AI85" s="437"/>
      <c r="AJ85" s="437"/>
      <c r="AK85" s="437"/>
    </row>
    <row r="86" spans="2:37" customFormat="1" x14ac:dyDescent="0.25">
      <c r="M86" s="3"/>
      <c r="N86" s="11"/>
      <c r="AA86" s="437"/>
      <c r="AB86" s="437"/>
      <c r="AC86" s="437"/>
      <c r="AD86" s="437"/>
      <c r="AE86" s="437"/>
      <c r="AF86" s="437"/>
      <c r="AG86" s="437"/>
      <c r="AH86" s="437"/>
      <c r="AI86" s="437"/>
      <c r="AJ86" s="437"/>
      <c r="AK86" s="437"/>
    </row>
    <row r="87" spans="2:37" customFormat="1" x14ac:dyDescent="0.25">
      <c r="M87" s="3"/>
      <c r="N87" s="11"/>
      <c r="AA87" s="437"/>
      <c r="AB87" s="437"/>
      <c r="AC87" s="437"/>
      <c r="AD87" s="437"/>
      <c r="AE87" s="437"/>
      <c r="AF87" s="437"/>
      <c r="AG87" s="437"/>
      <c r="AH87" s="437"/>
      <c r="AI87" s="437"/>
      <c r="AJ87" s="437"/>
      <c r="AK87" s="437"/>
    </row>
    <row r="88" spans="2:37" customFormat="1" x14ac:dyDescent="0.25">
      <c r="M88" s="3"/>
      <c r="N88" s="11"/>
      <c r="AA88" s="437"/>
      <c r="AB88" s="437"/>
      <c r="AC88" s="437"/>
      <c r="AD88" s="437"/>
      <c r="AE88" s="437"/>
      <c r="AF88" s="437"/>
      <c r="AG88" s="437"/>
      <c r="AH88" s="437"/>
      <c r="AI88" s="437"/>
      <c r="AJ88" s="437"/>
      <c r="AK88" s="437"/>
    </row>
    <row r="89" spans="2:37" customFormat="1" x14ac:dyDescent="0.25">
      <c r="M89" s="3"/>
      <c r="N89" s="11"/>
      <c r="AA89" s="437"/>
      <c r="AB89" s="437"/>
      <c r="AC89" s="437"/>
      <c r="AD89" s="437"/>
      <c r="AE89" s="437"/>
      <c r="AF89" s="437"/>
      <c r="AG89" s="437"/>
      <c r="AH89" s="437"/>
      <c r="AI89" s="437"/>
      <c r="AJ89" s="437"/>
      <c r="AK89" s="437"/>
    </row>
    <row r="90" spans="2:37" customFormat="1" x14ac:dyDescent="0.25">
      <c r="M90" s="3"/>
      <c r="N90" s="11"/>
      <c r="AA90" s="437"/>
      <c r="AB90" s="437"/>
      <c r="AC90" s="437"/>
      <c r="AD90" s="437"/>
      <c r="AE90" s="437"/>
      <c r="AF90" s="437"/>
      <c r="AG90" s="437"/>
      <c r="AH90" s="437"/>
      <c r="AI90" s="437"/>
      <c r="AJ90" s="437"/>
      <c r="AK90" s="437"/>
    </row>
    <row r="91" spans="2:37" customFormat="1" x14ac:dyDescent="0.25">
      <c r="M91" s="3"/>
      <c r="N91" s="11"/>
      <c r="AA91" s="437"/>
      <c r="AB91" s="445" t="s">
        <v>999</v>
      </c>
      <c r="AC91" s="445"/>
      <c r="AD91" s="445" t="s">
        <v>120</v>
      </c>
      <c r="AE91" s="445" t="s">
        <v>48</v>
      </c>
      <c r="AF91" s="445"/>
      <c r="AG91" s="445" t="s">
        <v>101</v>
      </c>
      <c r="AH91" s="437"/>
      <c r="AI91" s="437"/>
      <c r="AJ91" s="437"/>
      <c r="AK91" s="437"/>
    </row>
    <row r="92" spans="2:37" customFormat="1" x14ac:dyDescent="0.25">
      <c r="M92" s="3"/>
      <c r="N92" s="11"/>
      <c r="AA92" s="437"/>
      <c r="AB92" s="437" t="s">
        <v>1000</v>
      </c>
      <c r="AC92" s="437"/>
      <c r="AD92" s="437" t="s">
        <v>1002</v>
      </c>
      <c r="AE92" s="437"/>
      <c r="AF92" s="437"/>
      <c r="AG92" s="437" t="s">
        <v>1001</v>
      </c>
      <c r="AH92" s="437"/>
      <c r="AI92" s="437"/>
      <c r="AJ92" s="437"/>
      <c r="AK92" s="437"/>
    </row>
    <row r="93" spans="2:37" customFormat="1" x14ac:dyDescent="0.25">
      <c r="M93" s="3"/>
      <c r="N93" s="11"/>
      <c r="AA93" s="437"/>
      <c r="AB93" s="448">
        <v>100</v>
      </c>
      <c r="AC93" s="446"/>
      <c r="AD93" s="446">
        <f>AD94*AD95</f>
        <v>205.15519861080963</v>
      </c>
      <c r="AE93" s="446"/>
      <c r="AF93" s="437"/>
      <c r="AG93" s="446">
        <f>AG95*AG94</f>
        <v>246.50531799435637</v>
      </c>
      <c r="AH93" s="437"/>
      <c r="AI93" s="437"/>
      <c r="AJ93" s="437"/>
      <c r="AK93" s="437"/>
    </row>
    <row r="94" spans="2:37" customFormat="1" x14ac:dyDescent="0.25">
      <c r="M94" s="3"/>
      <c r="N94" s="11"/>
      <c r="AA94" s="437"/>
      <c r="AB94" s="446">
        <v>92.14</v>
      </c>
      <c r="AC94" s="446"/>
      <c r="AD94" s="446">
        <v>63.01</v>
      </c>
      <c r="AE94" s="446"/>
      <c r="AF94" s="437"/>
      <c r="AG94" s="446">
        <v>227.13</v>
      </c>
      <c r="AH94" s="437"/>
      <c r="AI94" s="437"/>
      <c r="AJ94" s="437"/>
      <c r="AK94" s="437"/>
    </row>
    <row r="95" spans="2:37" customFormat="1" x14ac:dyDescent="0.25">
      <c r="M95" s="3"/>
      <c r="N95" s="11"/>
      <c r="AA95" s="437"/>
      <c r="AB95" s="446">
        <f>AB93/AB94</f>
        <v>1.0853049706967657</v>
      </c>
      <c r="AC95" s="446"/>
      <c r="AD95" s="446">
        <f>AB95*AD96/AB96</f>
        <v>3.2559149120902973</v>
      </c>
      <c r="AE95" s="446"/>
      <c r="AF95" s="437"/>
      <c r="AG95" s="446">
        <f>AD95*AG96/AD96</f>
        <v>1.0853049706967657</v>
      </c>
      <c r="AH95" s="437"/>
      <c r="AI95" s="437"/>
      <c r="AJ95" s="437"/>
      <c r="AK95" s="437"/>
    </row>
    <row r="96" spans="2:37" customFormat="1" x14ac:dyDescent="0.25">
      <c r="M96" s="3"/>
      <c r="N96" s="11"/>
      <c r="AA96" s="437"/>
      <c r="AB96" s="446">
        <v>1</v>
      </c>
      <c r="AC96" s="446"/>
      <c r="AD96" s="446">
        <v>3</v>
      </c>
      <c r="AE96" s="446"/>
      <c r="AF96" s="437"/>
      <c r="AG96" s="446">
        <v>1</v>
      </c>
      <c r="AH96" s="437"/>
      <c r="AI96" s="437"/>
      <c r="AJ96" s="437"/>
      <c r="AK96" s="437"/>
    </row>
    <row r="97" spans="27:37" x14ac:dyDescent="0.25">
      <c r="AA97" s="437"/>
      <c r="AB97" s="437"/>
      <c r="AC97" s="437"/>
      <c r="AD97" s="437"/>
      <c r="AE97" s="437"/>
      <c r="AF97" s="437"/>
      <c r="AG97" s="437"/>
      <c r="AH97" s="437"/>
      <c r="AI97" s="437"/>
      <c r="AJ97" s="437"/>
      <c r="AK97" s="437"/>
    </row>
    <row r="98" spans="27:37" customFormat="1" x14ac:dyDescent="0.25">
      <c r="AA98" s="437"/>
      <c r="AB98" s="445" t="s">
        <v>999</v>
      </c>
      <c r="AC98" s="445"/>
      <c r="AD98" s="445" t="s">
        <v>120</v>
      </c>
      <c r="AE98" s="445" t="s">
        <v>48</v>
      </c>
      <c r="AF98" s="445"/>
      <c r="AG98" s="445" t="s">
        <v>101</v>
      </c>
      <c r="AH98" s="437"/>
      <c r="AI98" s="437"/>
      <c r="AJ98" s="437"/>
      <c r="AK98" s="437"/>
    </row>
    <row r="99" spans="27:37" customFormat="1" x14ac:dyDescent="0.25">
      <c r="AA99" s="437"/>
      <c r="AB99" s="437" t="s">
        <v>1000</v>
      </c>
      <c r="AC99" s="437"/>
      <c r="AD99" s="437" t="s">
        <v>1002</v>
      </c>
      <c r="AE99" s="437"/>
      <c r="AF99" s="437"/>
      <c r="AG99" s="437" t="s">
        <v>1001</v>
      </c>
      <c r="AH99" s="437"/>
      <c r="AI99" s="437"/>
      <c r="AJ99" s="437"/>
      <c r="AK99" s="437"/>
    </row>
    <row r="100" spans="27:37" customFormat="1" x14ac:dyDescent="0.25">
      <c r="AA100" s="437"/>
      <c r="AB100" s="448">
        <v>100</v>
      </c>
      <c r="AC100" s="446"/>
      <c r="AD100" s="446">
        <f>AD101*AD102</f>
        <v>205.15519861080963</v>
      </c>
      <c r="AE100" s="446"/>
      <c r="AF100" s="437"/>
      <c r="AG100" s="446">
        <f>AG102*AG101</f>
        <v>246.50531799435637</v>
      </c>
      <c r="AH100" s="437"/>
      <c r="AI100" s="437"/>
      <c r="AJ100" s="437"/>
      <c r="AK100" s="437"/>
    </row>
    <row r="101" spans="27:37" customFormat="1" x14ac:dyDescent="0.25">
      <c r="AA101" s="437"/>
      <c r="AB101" s="446">
        <v>92.14</v>
      </c>
      <c r="AC101" s="446"/>
      <c r="AD101" s="446">
        <v>63.01</v>
      </c>
      <c r="AE101" s="446"/>
      <c r="AF101" s="437"/>
      <c r="AG101" s="446">
        <v>227.13</v>
      </c>
      <c r="AH101" s="437"/>
      <c r="AI101" s="437"/>
      <c r="AJ101" s="437"/>
      <c r="AK101" s="437"/>
    </row>
    <row r="102" spans="27:37" customFormat="1" x14ac:dyDescent="0.25">
      <c r="AA102" s="437"/>
      <c r="AB102" s="446">
        <f>AB100/AB101</f>
        <v>1.0853049706967657</v>
      </c>
      <c r="AC102" s="446"/>
      <c r="AD102" s="446">
        <f>AB102*AD103/AB103</f>
        <v>3.2559149120902973</v>
      </c>
      <c r="AE102" s="446"/>
      <c r="AF102" s="437"/>
      <c r="AG102" s="446">
        <f>AD102*AG103/AD103</f>
        <v>1.0853049706967657</v>
      </c>
      <c r="AH102" s="437"/>
      <c r="AI102" s="437"/>
      <c r="AJ102" s="437"/>
      <c r="AK102" s="437"/>
    </row>
    <row r="103" spans="27:37" customFormat="1" x14ac:dyDescent="0.25">
      <c r="AA103" s="437"/>
      <c r="AB103" s="446">
        <v>1</v>
      </c>
      <c r="AC103" s="446"/>
      <c r="AD103" s="446">
        <v>3</v>
      </c>
      <c r="AE103" s="446"/>
      <c r="AF103" s="437"/>
      <c r="AG103" s="446">
        <v>1</v>
      </c>
      <c r="AH103" s="437"/>
      <c r="AI103" s="437"/>
      <c r="AJ103" s="437"/>
      <c r="AK103" s="437"/>
    </row>
  </sheetData>
  <sheetProtection algorithmName="SHA-512" hashValue="rk3MxiBJjjRn5weNTPjKf0Lf8dvirP35SRFIK0u6uxC9TnmzqmanaxOf2UtEEXv+majDlbrPL9XzvcZPvWlBKQ==" saltValue="fzTtz5N09m+3xsPf3LctXw==" spinCount="100000" sheet="1" objects="1" scenarios="1" formatColumns="0" formatRows="0"/>
  <mergeCells count="12">
    <mergeCell ref="B72:L72"/>
    <mergeCell ref="B73:L73"/>
    <mergeCell ref="B34:L34"/>
    <mergeCell ref="B46:L46"/>
    <mergeCell ref="B47:L47"/>
    <mergeCell ref="B59:L59"/>
    <mergeCell ref="B60:L60"/>
    <mergeCell ref="B6:L6"/>
    <mergeCell ref="B7:L7"/>
    <mergeCell ref="B19:L19"/>
    <mergeCell ref="B20:L20"/>
    <mergeCell ref="B33:L33"/>
  </mergeCells>
  <conditionalFormatting sqref="B35:I35 B42:F43 H42:I43">
    <cfRule type="containsText" dxfId="376" priority="17" operator="containsText" text="R">
      <formula>NOT(ISERROR(SEARCH("R",B35)))</formula>
    </cfRule>
  </conditionalFormatting>
  <conditionalFormatting sqref="B8:K8 J9:K15 G10:G14 B15:I15 B16:K17">
    <cfRule type="containsText" dxfId="375" priority="32" operator="containsText" text="R">
      <formula>NOT(ISERROR(SEARCH("R",B8)))</formula>
    </cfRule>
  </conditionalFormatting>
  <conditionalFormatting sqref="B21:K21 G23:G28 E24:E27 H24:H27 J24:J27 C25:C27 B28:F28 H28:K28 B29:K29">
    <cfRule type="containsText" dxfId="374" priority="37" operator="containsText" text="R">
      <formula>NOT(ISERROR(SEARCH("R",B21)))</formula>
    </cfRule>
  </conditionalFormatting>
  <conditionalFormatting sqref="B31:K31">
    <cfRule type="containsText" dxfId="373" priority="31" operator="containsText" text="R">
      <formula>NOT(ISERROR(SEARCH("R",B31)))</formula>
    </cfRule>
  </conditionalFormatting>
  <conditionalFormatting sqref="B48:K48 G50:G55 E51:E54 H51:H54 J51:J54 C52:C54 B55:F55 H55:K55">
    <cfRule type="containsText" dxfId="372" priority="26" operator="containsText" text="R">
      <formula>NOT(ISERROR(SEARCH("R",B48)))</formula>
    </cfRule>
  </conditionalFormatting>
  <conditionalFormatting sqref="B56:K57">
    <cfRule type="containsText" dxfId="371" priority="25" operator="containsText" text="R">
      <formula>NOT(ISERROR(SEARCH("R",B56)))</formula>
    </cfRule>
  </conditionalFormatting>
  <conditionalFormatting sqref="B61:K61 G63:G68 E64:E67 H64:H67 J64:J67 C65:C67 B68:F68 H68:K68">
    <cfRule type="containsText" dxfId="370" priority="23" operator="containsText" text="R">
      <formula>NOT(ISERROR(SEARCH("R",B61)))</formula>
    </cfRule>
  </conditionalFormatting>
  <conditionalFormatting sqref="B69:K70">
    <cfRule type="containsText" dxfId="369" priority="12" operator="containsText" text="R">
      <formula>NOT(ISERROR(SEARCH("R",B69)))</formula>
    </cfRule>
  </conditionalFormatting>
  <conditionalFormatting sqref="B74:K74 G76:G81 E77:E80 H77:H80 J77:J80 C78:C80 B81:F81 H81:K81">
    <cfRule type="containsText" dxfId="368" priority="3" operator="containsText" text="R">
      <formula>NOT(ISERROR(SEARCH("R",B74)))</formula>
    </cfRule>
  </conditionalFormatting>
  <conditionalFormatting sqref="B82:K83">
    <cfRule type="containsText" dxfId="367" priority="2" operator="containsText" text="R">
      <formula>NOT(ISERROR(SEARCH("R",B82)))</formula>
    </cfRule>
  </conditionalFormatting>
  <conditionalFormatting sqref="B17:L20 B30:L34 B57:L60 B44:L47 B69:L73 B4:L7 L8:L16 L21:L29 L35:L43 L48:L56 L61:L68 L74:L82">
    <cfRule type="expression" dxfId="366" priority="308">
      <formula>AND($AK$9:$AK$17="ja",$AK$22:$AK$30="ja",$AK$36:$AK$44="ja",$AK$49:$AK$57="ja",$AK$62:$AK$69="ja",$AK$75:$AK$83="ja")</formula>
    </cfRule>
  </conditionalFormatting>
  <conditionalFormatting sqref="E11:E14 H11:H14 C12:C14 H36:I36 I37">
    <cfRule type="containsText" dxfId="365" priority="39" operator="containsText" text="R">
      <formula>NOT(ISERROR(SEARCH("R",C11)))</formula>
    </cfRule>
  </conditionalFormatting>
  <conditionalFormatting sqref="E11:E14 H11:H14 C12:C14">
    <cfRule type="containsText" dxfId="364" priority="36" operator="containsText" text="F">
      <formula>NOT(ISERROR(SEARCH("F",C11)))</formula>
    </cfRule>
  </conditionalFormatting>
  <conditionalFormatting sqref="E24:E27 H24:H27 J24:J27 C25:C27">
    <cfRule type="containsText" dxfId="363" priority="38" operator="containsText" text="F">
      <formula>NOT(ISERROR(SEARCH("F",C24)))</formula>
    </cfRule>
  </conditionalFormatting>
  <conditionalFormatting sqref="E38:E41 H38:H41 C39:C41">
    <cfRule type="containsText" dxfId="362" priority="18" operator="containsText" text="F">
      <formula>NOT(ISERROR(SEARCH("F",C38)))</formula>
    </cfRule>
  </conditionalFormatting>
  <conditionalFormatting sqref="E38:E41 H38:I41 C39:C41 B44:K44">
    <cfRule type="containsText" dxfId="361" priority="19" operator="containsText" text="R">
      <formula>NOT(ISERROR(SEARCH("R",B38)))</formula>
    </cfRule>
  </conditionalFormatting>
  <conditionalFormatting sqref="E51:E54 H51:H54 J51:J54 C52:C54">
    <cfRule type="containsText" dxfId="360" priority="27" operator="containsText" text="F">
      <formula>NOT(ISERROR(SEARCH("F",C51)))</formula>
    </cfRule>
  </conditionalFormatting>
  <conditionalFormatting sqref="E64:E67 H64:H67 J64:J67 C65:C67">
    <cfRule type="containsText" dxfId="359" priority="24" operator="containsText" text="F">
      <formula>NOT(ISERROR(SEARCH("F",C64)))</formula>
    </cfRule>
  </conditionalFormatting>
  <conditionalFormatting sqref="E77:E80 H77:H80 J77:J80 C78:C80">
    <cfRule type="containsText" dxfId="358" priority="4" operator="containsText" text="F">
      <formula>NOT(ISERROR(SEARCH("F",C77)))</formula>
    </cfRule>
  </conditionalFormatting>
  <conditionalFormatting sqref="G37:G43">
    <cfRule type="containsText" dxfId="357" priority="15" operator="containsText" text="R">
      <formula>NOT(ISERROR(SEARCH("R",G37)))</formula>
    </cfRule>
  </conditionalFormatting>
  <conditionalFormatting sqref="J35:K43">
    <cfRule type="containsText" dxfId="356" priority="14" operator="containsText" text="R">
      <formula>NOT(ISERROR(SEARCH("R",J35)))</formula>
    </cfRule>
  </conditionalFormatting>
  <dataValidations count="1">
    <dataValidation type="decimal" allowBlank="1" showInputMessage="1" showErrorMessage="1" sqref="D12:D14 F11:F14 I11:I14 D25:D27 F24:F27 I24:I27 K24:K27 D39:D41 F38:F41 I38:I41 D52:D54 F51:F54 I51:I54 K51:K54 D65:D67 F64:F67 I64:I67 K64:K67 D78:D80 F77:F80 I77:I80 K77:K80" xr:uid="{999E9D38-83EC-4AF6-8E39-36FA1131EA30}">
      <formula1>0.001</formula1>
      <formula2>100000</formula2>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6" tint="0.39997558519241921"/>
  </sheetPr>
  <dimension ref="B1:AJ316"/>
  <sheetViews>
    <sheetView showGridLines="0" zoomScale="250" zoomScaleNormal="250" workbookViewId="0"/>
  </sheetViews>
  <sheetFormatPr defaultColWidth="9.140625" defaultRowHeight="15" x14ac:dyDescent="0.25"/>
  <cols>
    <col min="1" max="1" width="9.140625" style="3"/>
    <col min="2" max="2" width="16" customWidth="1"/>
    <col min="3" max="3" width="4.7109375" customWidth="1"/>
    <col min="4" max="4" width="16.28515625" customWidth="1"/>
    <col min="5" max="5" width="4.85546875" customWidth="1"/>
    <col min="6" max="6" width="15" customWidth="1"/>
    <col min="7" max="7" width="4.7109375" customWidth="1"/>
    <col min="8" max="8" width="5" customWidth="1"/>
    <col min="9" max="9" width="15.140625" customWidth="1"/>
    <col min="10" max="10" width="6" customWidth="1"/>
    <col min="11" max="11" width="12.28515625" customWidth="1"/>
    <col min="12" max="12" width="14.85546875" customWidth="1"/>
    <col min="13" max="13" width="9.140625" style="3"/>
    <col min="37" max="16384" width="9.140625" style="3"/>
  </cols>
  <sheetData>
    <row r="1" spans="2:36" x14ac:dyDescent="0.25">
      <c r="AA1" s="437"/>
      <c r="AB1" s="437"/>
      <c r="AC1" s="437"/>
      <c r="AD1" s="437"/>
      <c r="AE1" s="437"/>
      <c r="AF1" s="437"/>
      <c r="AG1" s="437"/>
      <c r="AH1" s="437"/>
      <c r="AI1" s="437"/>
      <c r="AJ1" s="437"/>
    </row>
    <row r="2" spans="2:36" ht="38.25" customHeight="1" thickBot="1" x14ac:dyDescent="0.4">
      <c r="B2" s="336" t="s">
        <v>51</v>
      </c>
      <c r="C2" s="284"/>
      <c r="D2" s="284"/>
      <c r="E2" s="284"/>
      <c r="F2" s="284"/>
      <c r="G2" s="284"/>
      <c r="H2" s="284"/>
      <c r="I2" s="284"/>
      <c r="J2" s="284"/>
      <c r="K2" s="284"/>
      <c r="L2" s="285"/>
      <c r="AA2" s="437"/>
      <c r="AB2" s="437"/>
      <c r="AC2" s="437"/>
      <c r="AD2" s="437"/>
      <c r="AE2" s="437"/>
      <c r="AF2" s="437"/>
      <c r="AG2" s="437"/>
      <c r="AH2" s="437"/>
      <c r="AI2" s="437"/>
      <c r="AJ2" s="437"/>
    </row>
    <row r="3" spans="2:36" customFormat="1" x14ac:dyDescent="0.25">
      <c r="B3" s="81" t="s">
        <v>0</v>
      </c>
      <c r="C3" s="79"/>
      <c r="D3" s="82" t="s">
        <v>1</v>
      </c>
      <c r="E3" s="79"/>
      <c r="F3" s="109" t="s">
        <v>693</v>
      </c>
      <c r="G3" s="79"/>
      <c r="H3" s="79"/>
      <c r="I3" s="79" t="s">
        <v>704</v>
      </c>
      <c r="J3" s="79"/>
      <c r="L3" s="80"/>
      <c r="AA3" s="440"/>
      <c r="AB3" s="440"/>
      <c r="AC3" s="440"/>
      <c r="AD3" s="440"/>
      <c r="AE3" s="437"/>
      <c r="AF3" s="437"/>
      <c r="AG3" s="437"/>
      <c r="AH3" s="437"/>
      <c r="AI3" s="437"/>
      <c r="AJ3" s="437"/>
    </row>
    <row r="4" spans="2:36" customFormat="1" ht="18.75" customHeight="1" x14ac:dyDescent="0.35">
      <c r="B4" s="101" t="s">
        <v>124</v>
      </c>
      <c r="C4" s="102"/>
      <c r="D4" s="102"/>
      <c r="E4" s="102"/>
      <c r="F4" s="103"/>
      <c r="G4" s="102"/>
      <c r="H4" s="102"/>
      <c r="I4" s="102"/>
      <c r="J4" s="104"/>
      <c r="K4" s="104"/>
      <c r="L4" s="105"/>
      <c r="M4" s="2"/>
      <c r="AA4" s="444"/>
      <c r="AB4" s="444"/>
      <c r="AC4" s="444"/>
      <c r="AD4" s="444"/>
      <c r="AE4" s="437"/>
      <c r="AF4" s="437"/>
      <c r="AG4" s="437"/>
      <c r="AH4" s="437"/>
      <c r="AI4" s="437"/>
      <c r="AJ4" s="437"/>
    </row>
    <row r="5" spans="2:36" customFormat="1" x14ac:dyDescent="0.25">
      <c r="B5" s="78"/>
      <c r="C5" s="79"/>
      <c r="D5" s="79"/>
      <c r="E5" s="79"/>
      <c r="F5" s="79"/>
      <c r="G5" s="79"/>
      <c r="H5" s="79"/>
      <c r="I5" s="79"/>
      <c r="J5" s="79"/>
      <c r="K5" s="79"/>
      <c r="L5" s="80"/>
      <c r="M5" s="4"/>
      <c r="AA5" s="449"/>
      <c r="AB5" s="437"/>
      <c r="AC5" s="437"/>
      <c r="AD5" s="437"/>
      <c r="AE5" s="437"/>
      <c r="AF5" s="437"/>
      <c r="AG5" s="437"/>
      <c r="AH5" s="437"/>
      <c r="AI5" s="437"/>
      <c r="AJ5" s="437"/>
    </row>
    <row r="6" spans="2:36" ht="18.75" x14ac:dyDescent="0.3">
      <c r="B6" s="263"/>
      <c r="C6" s="263"/>
      <c r="D6" s="280" t="str">
        <f>AC6</f>
        <v>C₆H₁₄</v>
      </c>
      <c r="E6" s="280"/>
      <c r="F6" s="280" t="s">
        <v>49</v>
      </c>
      <c r="G6" s="280" t="str">
        <f>AF6</f>
        <v>⟶</v>
      </c>
      <c r="H6" s="280"/>
      <c r="I6" s="280" t="s">
        <v>31</v>
      </c>
      <c r="J6" s="280"/>
      <c r="K6" s="280" t="s">
        <v>50</v>
      </c>
      <c r="L6" s="80"/>
      <c r="M6" s="4"/>
      <c r="AA6" s="437"/>
      <c r="AB6" s="437">
        <v>2</v>
      </c>
      <c r="AC6" s="445" t="s">
        <v>30</v>
      </c>
      <c r="AD6" s="445">
        <v>19</v>
      </c>
      <c r="AE6" s="445" t="s">
        <v>3</v>
      </c>
      <c r="AF6" s="445" t="s">
        <v>48</v>
      </c>
      <c r="AG6" s="445">
        <v>12</v>
      </c>
      <c r="AH6" s="445" t="s">
        <v>31</v>
      </c>
      <c r="AI6" s="445">
        <v>14</v>
      </c>
      <c r="AJ6" s="445" t="s">
        <v>5</v>
      </c>
    </row>
    <row r="7" spans="2:36" ht="18.75" x14ac:dyDescent="0.3">
      <c r="B7" s="280" t="s">
        <v>46</v>
      </c>
      <c r="C7" s="263"/>
      <c r="D7" s="337">
        <f>AB7</f>
        <v>100</v>
      </c>
      <c r="E7" s="265" t="str">
        <f>IF(SQRT((ABS(AD7-F7))^2)/AD7&gt;0.02,"F","R")</f>
        <v>F</v>
      </c>
      <c r="F7" s="99"/>
      <c r="G7" s="492"/>
      <c r="H7" s="265" t="str">
        <f>IF(SQRT((ABS(AG7-I7))^2)/AG7&gt;0.02,"F","R")</f>
        <v>F</v>
      </c>
      <c r="I7" s="99"/>
      <c r="J7" s="265" t="str">
        <f>IF(SQRT((ABS(AI7-K7))^2)/AI7&gt;0.02,"F","R")</f>
        <v>F</v>
      </c>
      <c r="K7" s="99"/>
      <c r="L7" s="80"/>
      <c r="AA7" s="437" t="s">
        <v>6</v>
      </c>
      <c r="AB7" s="446">
        <v>100</v>
      </c>
      <c r="AC7" s="446"/>
      <c r="AD7" s="446">
        <f>AD9*AD8</f>
        <v>352.78280648006319</v>
      </c>
      <c r="AE7" s="446"/>
      <c r="AF7" s="437"/>
      <c r="AG7" s="446">
        <f>AG9*AG8</f>
        <v>306.43364433922852</v>
      </c>
      <c r="AH7" s="446"/>
      <c r="AI7" s="446">
        <f>AI8*AI9</f>
        <v>146.34916214083461</v>
      </c>
      <c r="AJ7" s="446"/>
    </row>
    <row r="8" spans="2:36" ht="18.75" x14ac:dyDescent="0.3">
      <c r="B8" s="280" t="s">
        <v>45</v>
      </c>
      <c r="C8" s="263" t="str">
        <f>IF(ABS(AB8-D8)/AB8&gt;0.02,"F","R")</f>
        <v>F</v>
      </c>
      <c r="D8" s="141"/>
      <c r="E8" s="265" t="str">
        <f>IF(SQRT((ABS(AD8-F8))^2)/AD8&gt;0.02,"F","R")</f>
        <v>F</v>
      </c>
      <c r="F8" s="141"/>
      <c r="G8" s="493"/>
      <c r="H8" s="265" t="str">
        <f>IF(SQRT((ABS(AG8-I8))^2)/AG8&gt;0.02,"F","R")</f>
        <v>F</v>
      </c>
      <c r="I8" s="141"/>
      <c r="J8" s="265" t="str">
        <f>IF(SQRT((ABS(AI8-K8))^2)/AI8&gt;0.02,"F","R")</f>
        <v>F</v>
      </c>
      <c r="K8" s="141"/>
      <c r="L8" s="80"/>
      <c r="AA8" s="437" t="s">
        <v>7</v>
      </c>
      <c r="AB8" s="446">
        <v>86.171999999999997</v>
      </c>
      <c r="AC8" s="446"/>
      <c r="AD8" s="446">
        <v>32</v>
      </c>
      <c r="AE8" s="446"/>
      <c r="AF8" s="437"/>
      <c r="AG8" s="446">
        <v>44.01</v>
      </c>
      <c r="AH8" s="446"/>
      <c r="AI8" s="446">
        <v>18.015999999999998</v>
      </c>
      <c r="AJ8" s="446"/>
    </row>
    <row r="9" spans="2:36" ht="18.75" x14ac:dyDescent="0.3">
      <c r="B9" s="280" t="s">
        <v>47</v>
      </c>
      <c r="C9" s="263" t="str">
        <f>IF(SQRT((ABS(AB9-D9))^2)/AB9&gt;0.02,"F","R")</f>
        <v>F</v>
      </c>
      <c r="D9" s="413"/>
      <c r="E9" s="265" t="str">
        <f>IF(SQRT((ABS(AD9-F9))^2)/AD9&gt;0.02,"F","R")</f>
        <v>F</v>
      </c>
      <c r="F9" s="413"/>
      <c r="G9" s="493"/>
      <c r="H9" s="265" t="str">
        <f>IF(SQRT((ABS(AG9-I9))^2)/AG9&gt;0.02,"F","R")</f>
        <v>F</v>
      </c>
      <c r="I9" s="413"/>
      <c r="J9" s="265" t="str">
        <f>IF(SQRT((ABS(AI9-K9))^2)/AI9&gt;0.02,"F","R")</f>
        <v>F</v>
      </c>
      <c r="K9" s="413"/>
      <c r="L9" s="80"/>
      <c r="AA9" s="437" t="s">
        <v>8</v>
      </c>
      <c r="AB9" s="446">
        <f>AB7/AB8</f>
        <v>1.1604697581581025</v>
      </c>
      <c r="AC9" s="446"/>
      <c r="AD9" s="446">
        <f>AB9*AD6/AB6</f>
        <v>11.024462702501975</v>
      </c>
      <c r="AE9" s="446"/>
      <c r="AF9" s="437"/>
      <c r="AG9" s="446">
        <f>AB9*AG6/AB6</f>
        <v>6.962818548948615</v>
      </c>
      <c r="AH9" s="446"/>
      <c r="AI9" s="446">
        <f>AB9*AI6/AB6</f>
        <v>8.1232883071067175</v>
      </c>
      <c r="AJ9" s="446"/>
    </row>
    <row r="10" spans="2:36" ht="18.75" x14ac:dyDescent="0.3">
      <c r="B10" s="280" t="s">
        <v>90</v>
      </c>
      <c r="C10" s="263" t="str">
        <f>IF(OR(AND(C6=AB10,OR(D10="",D10=AB10)),D10=AB10),"R","F")</f>
        <v>F</v>
      </c>
      <c r="D10" s="13"/>
      <c r="E10" s="265" t="str">
        <f>IF(OR(AND(E6=AD10,OR(F10="",F10=AD10)),F10=AD10),"R","F")</f>
        <v>F</v>
      </c>
      <c r="F10" s="12"/>
      <c r="G10" s="494"/>
      <c r="H10" s="265" t="str">
        <f>IF(OR(AND(H6=AG10,OR(I10="",I10=AG10)),I10=AG10),"R","F")</f>
        <v>F</v>
      </c>
      <c r="I10" s="12"/>
      <c r="J10" s="265" t="str">
        <f>IF(OR(AND(J6=AI10,OR(K10="",K10=AI10)),K10=AI10),"R","F")</f>
        <v>F</v>
      </c>
      <c r="K10" s="12"/>
      <c r="L10" s="80"/>
      <c r="AA10" s="437" t="s">
        <v>9</v>
      </c>
      <c r="AB10" s="446">
        <v>2</v>
      </c>
      <c r="AC10" s="446"/>
      <c r="AD10" s="446">
        <v>19</v>
      </c>
      <c r="AE10" s="446"/>
      <c r="AF10" s="437"/>
      <c r="AG10" s="446">
        <v>12</v>
      </c>
      <c r="AH10" s="446"/>
      <c r="AI10" s="446">
        <v>14</v>
      </c>
      <c r="AJ10" s="446"/>
    </row>
    <row r="11" spans="2:36" x14ac:dyDescent="0.25">
      <c r="B11" s="78"/>
      <c r="C11" s="79"/>
      <c r="D11" s="79"/>
      <c r="E11" s="79"/>
      <c r="F11" s="79"/>
      <c r="G11" s="79"/>
      <c r="H11" s="79"/>
      <c r="I11" s="79"/>
      <c r="J11" s="79"/>
      <c r="K11" s="79"/>
      <c r="L11" s="80"/>
      <c r="AA11" s="437"/>
      <c r="AB11" s="437"/>
      <c r="AC11" s="437"/>
      <c r="AD11" s="437"/>
      <c r="AE11" s="437"/>
      <c r="AF11" s="437"/>
      <c r="AG11" s="437"/>
      <c r="AH11" s="437"/>
      <c r="AI11" s="437"/>
      <c r="AJ11" s="437"/>
    </row>
    <row r="12" spans="2:36" ht="18.75" x14ac:dyDescent="0.3">
      <c r="B12" s="263"/>
      <c r="C12" s="263"/>
      <c r="D12" s="280" t="str">
        <f>AC12</f>
        <v>C₃H₆</v>
      </c>
      <c r="E12" s="280"/>
      <c r="F12" s="280" t="s">
        <v>49</v>
      </c>
      <c r="G12" s="280" t="str">
        <f>AF12</f>
        <v>⟶</v>
      </c>
      <c r="H12" s="280"/>
      <c r="I12" s="280" t="s">
        <v>31</v>
      </c>
      <c r="J12" s="280"/>
      <c r="K12" s="280" t="s">
        <v>50</v>
      </c>
      <c r="L12" s="80"/>
      <c r="AA12" s="437"/>
      <c r="AB12" s="437">
        <v>2</v>
      </c>
      <c r="AC12" s="445" t="s">
        <v>32</v>
      </c>
      <c r="AD12" s="445">
        <v>9</v>
      </c>
      <c r="AE12" s="445" t="s">
        <v>3</v>
      </c>
      <c r="AF12" s="445" t="s">
        <v>48</v>
      </c>
      <c r="AG12" s="445">
        <v>6</v>
      </c>
      <c r="AH12" s="445" t="s">
        <v>4</v>
      </c>
      <c r="AI12" s="445">
        <v>6</v>
      </c>
      <c r="AJ12" s="445" t="s">
        <v>5</v>
      </c>
    </row>
    <row r="13" spans="2:36" ht="18.75" x14ac:dyDescent="0.3">
      <c r="B13" s="280" t="s">
        <v>46</v>
      </c>
      <c r="C13" s="263"/>
      <c r="D13" s="337">
        <f>AB13</f>
        <v>200</v>
      </c>
      <c r="E13" s="265" t="str">
        <f>IF(SQRT((ABS(AD13-F13))^2)/AD13&gt;0.02,"F","R")</f>
        <v>F</v>
      </c>
      <c r="F13" s="99"/>
      <c r="G13" s="492"/>
      <c r="H13" s="265" t="str">
        <f>IF(SQRT((ABS(AG13-I13))^2)/AG13&gt;0.02,"F","R")</f>
        <v>F</v>
      </c>
      <c r="I13" s="99"/>
      <c r="J13" s="265" t="str">
        <f>IF(SQRT((ABS(AI13-K13))^2)/AI13&gt;0.02,"F","R")</f>
        <v>F</v>
      </c>
      <c r="K13" s="99"/>
      <c r="L13" s="80"/>
      <c r="AA13" s="437" t="s">
        <v>6</v>
      </c>
      <c r="AB13" s="446">
        <v>200</v>
      </c>
      <c r="AC13" s="446"/>
      <c r="AD13" s="446">
        <v>684.44317695707969</v>
      </c>
      <c r="AE13" s="446"/>
      <c r="AF13" s="437"/>
      <c r="AG13" s="446">
        <v>627.54883787252243</v>
      </c>
      <c r="AH13" s="446"/>
      <c r="AI13" s="446">
        <v>256.8943390845572</v>
      </c>
      <c r="AJ13" s="446"/>
    </row>
    <row r="14" spans="2:36" ht="18.75" x14ac:dyDescent="0.3">
      <c r="B14" s="280" t="s">
        <v>45</v>
      </c>
      <c r="C14" s="263" t="str">
        <f>IF(SQRT((ABS(AB14-D14))^2)/AB14&gt;0.02,"F","R")</f>
        <v>F</v>
      </c>
      <c r="D14" s="141"/>
      <c r="E14" s="265" t="str">
        <f>IF(SQRT((ABS(AD14-F14))^2)/AD14&gt;0.02,"F","R")</f>
        <v>F</v>
      </c>
      <c r="F14" s="141"/>
      <c r="G14" s="493"/>
      <c r="H14" s="265" t="str">
        <f>IF(SQRT((ABS(AG14-I14))^2)/AG14&gt;0.02,"F","R")</f>
        <v>F</v>
      </c>
      <c r="I14" s="141"/>
      <c r="J14" s="265" t="str">
        <f>IF(SQRT((ABS(AI14-K14))^2)/AI14&gt;0.02,"F","R")</f>
        <v>F</v>
      </c>
      <c r="K14" s="141"/>
      <c r="L14" s="80"/>
      <c r="AA14" s="437" t="s">
        <v>7</v>
      </c>
      <c r="AB14" s="446">
        <v>42.078000000000003</v>
      </c>
      <c r="AC14" s="446"/>
      <c r="AD14" s="446">
        <v>32</v>
      </c>
      <c r="AE14" s="446"/>
      <c r="AF14" s="437"/>
      <c r="AG14" s="446">
        <v>44.01</v>
      </c>
      <c r="AH14" s="446"/>
      <c r="AI14" s="446">
        <v>18.015999999999998</v>
      </c>
      <c r="AJ14" s="446"/>
    </row>
    <row r="15" spans="2:36" ht="18.75" x14ac:dyDescent="0.3">
      <c r="B15" s="280" t="s">
        <v>47</v>
      </c>
      <c r="C15" s="263" t="str">
        <f>IF(SQRT((ABS(AB15-D15))^2)/AB15&gt;0.02,"F","R")</f>
        <v>F</v>
      </c>
      <c r="D15" s="413"/>
      <c r="E15" s="265" t="str">
        <f>IF(SQRT((ABS(AD15-F15))^2)/AD15&gt;0.02,"F","R")</f>
        <v>F</v>
      </c>
      <c r="F15" s="413"/>
      <c r="G15" s="493"/>
      <c r="H15" s="265" t="str">
        <f>IF(SQRT((ABS(AG15-I15))^2)/AG15&gt;0.02,"F","R")</f>
        <v>F</v>
      </c>
      <c r="I15" s="413"/>
      <c r="J15" s="265" t="str">
        <f>IF(SQRT((ABS(AI15-K15))^2)/AI15&gt;0.02,"F","R")</f>
        <v>F</v>
      </c>
      <c r="K15" s="413"/>
      <c r="L15" s="80"/>
      <c r="M15" s="5"/>
      <c r="AA15" s="437" t="s">
        <v>8</v>
      </c>
      <c r="AB15" s="446">
        <v>4.7530776177574978</v>
      </c>
      <c r="AC15" s="446"/>
      <c r="AD15" s="446">
        <v>21.38884927990874</v>
      </c>
      <c r="AE15" s="446"/>
      <c r="AF15" s="437"/>
      <c r="AG15" s="446">
        <v>14.259232853272493</v>
      </c>
      <c r="AH15" s="446"/>
      <c r="AI15" s="446">
        <v>14.259232853272493</v>
      </c>
      <c r="AJ15" s="446"/>
    </row>
    <row r="16" spans="2:36" ht="18.75" x14ac:dyDescent="0.3">
      <c r="B16" s="280" t="s">
        <v>90</v>
      </c>
      <c r="C16" s="263" t="str">
        <f>IF(OR(AND(C12=AB16,OR(D16="",D16=AB16)),D16=AB16),"R","F")</f>
        <v>F</v>
      </c>
      <c r="D16" s="13"/>
      <c r="E16" s="265" t="str">
        <f>IF(OR(AND(E12=AD16,OR(F16="",F16=AD16)),F16=AD16),"R","F")</f>
        <v>F</v>
      </c>
      <c r="F16" s="12"/>
      <c r="G16" s="494"/>
      <c r="H16" s="265" t="str">
        <f>IF(OR(AND(H12=AG16,OR(I16="",I16=AG16)),I16=AG16),"R","F")</f>
        <v>F</v>
      </c>
      <c r="I16" s="12"/>
      <c r="J16" s="265" t="str">
        <f>IF(OR(AND(J12=AI16,OR(K16="",K16=AI16)),K16=AI16),"R","F")</f>
        <v>F</v>
      </c>
      <c r="K16" s="12"/>
      <c r="L16" s="80"/>
      <c r="M16" s="5"/>
      <c r="AA16" s="437" t="s">
        <v>9</v>
      </c>
      <c r="AB16" s="446">
        <v>2</v>
      </c>
      <c r="AC16" s="446"/>
      <c r="AD16" s="446">
        <v>9</v>
      </c>
      <c r="AE16" s="446"/>
      <c r="AF16" s="437"/>
      <c r="AG16" s="446">
        <v>6</v>
      </c>
      <c r="AH16" s="446"/>
      <c r="AI16" s="446">
        <v>6</v>
      </c>
      <c r="AJ16" s="446"/>
    </row>
    <row r="17" spans="2:36" x14ac:dyDescent="0.25">
      <c r="M17" s="106"/>
      <c r="AA17" s="437"/>
      <c r="AB17" s="437"/>
      <c r="AC17" s="437"/>
      <c r="AD17" s="437"/>
      <c r="AE17" s="437"/>
      <c r="AF17" s="437"/>
      <c r="AG17" s="437"/>
      <c r="AH17" s="437"/>
      <c r="AI17" s="437"/>
      <c r="AJ17" s="437"/>
    </row>
    <row r="18" spans="2:36" ht="18.75" x14ac:dyDescent="0.3">
      <c r="B18" s="263"/>
      <c r="C18" s="263"/>
      <c r="D18" s="280" t="str">
        <f>AC18</f>
        <v>CH₄</v>
      </c>
      <c r="E18" s="280"/>
      <c r="F18" s="280" t="s">
        <v>49</v>
      </c>
      <c r="G18" s="280" t="str">
        <f>AF18</f>
        <v>⟶</v>
      </c>
      <c r="H18" s="280"/>
      <c r="I18" s="280" t="s">
        <v>31</v>
      </c>
      <c r="J18" s="280"/>
      <c r="K18" s="280" t="s">
        <v>50</v>
      </c>
      <c r="L18" s="80"/>
      <c r="M18" s="5"/>
      <c r="AA18" s="437"/>
      <c r="AB18" s="437">
        <v>1</v>
      </c>
      <c r="AC18" s="445" t="s">
        <v>33</v>
      </c>
      <c r="AD18" s="445">
        <v>2</v>
      </c>
      <c r="AE18" s="445" t="s">
        <v>3</v>
      </c>
      <c r="AF18" s="445" t="s">
        <v>48</v>
      </c>
      <c r="AG18" s="445">
        <v>1</v>
      </c>
      <c r="AH18" s="445" t="s">
        <v>4</v>
      </c>
      <c r="AI18" s="445">
        <v>2</v>
      </c>
      <c r="AJ18" s="445" t="s">
        <v>5</v>
      </c>
    </row>
    <row r="19" spans="2:36" ht="18.75" x14ac:dyDescent="0.3">
      <c r="B19" s="280" t="s">
        <v>46</v>
      </c>
      <c r="C19" s="263"/>
      <c r="D19" s="337">
        <f>AB19</f>
        <v>59</v>
      </c>
      <c r="E19" s="265" t="str">
        <f>IF(SQRT((ABS(AD19-F19))^2)/AD19&gt;0.02,"F","R")</f>
        <v>F</v>
      </c>
      <c r="F19" s="99"/>
      <c r="G19" s="492"/>
      <c r="H19" s="265" t="str">
        <f>IF(SQRT((ABS(AG19-I19))^2)/AG19&gt;0.02,"F","R")</f>
        <v>F</v>
      </c>
      <c r="I19" s="99"/>
      <c r="J19" s="265" t="str">
        <f>IF(SQRT((ABS(AI19-K19))^2)/AI19&gt;0.02,"F","R")</f>
        <v>F</v>
      </c>
      <c r="K19" s="99"/>
      <c r="L19" s="80"/>
      <c r="M19" s="5"/>
      <c r="AA19" s="437" t="s">
        <v>6</v>
      </c>
      <c r="AB19" s="446">
        <v>59</v>
      </c>
      <c r="AC19" s="446"/>
      <c r="AD19" s="446">
        <v>235.3821219299339</v>
      </c>
      <c r="AE19" s="446"/>
      <c r="AF19" s="437"/>
      <c r="AG19" s="446">
        <v>161.8619872833811</v>
      </c>
      <c r="AH19" s="446"/>
      <c r="AI19" s="446">
        <v>132.52013464655278</v>
      </c>
      <c r="AJ19" s="446"/>
    </row>
    <row r="20" spans="2:36" ht="18.75" x14ac:dyDescent="0.3">
      <c r="B20" s="280" t="s">
        <v>45</v>
      </c>
      <c r="C20" s="263" t="str">
        <f>IF(SQRT((ABS(AB20-D20))^2)/AB20&gt;0.02,"F","R")</f>
        <v>F</v>
      </c>
      <c r="D20" s="141"/>
      <c r="E20" s="265" t="str">
        <f>IF(SQRT((ABS(AD20-F20))^2)/AD20&gt;0.02,"F","R")</f>
        <v>F</v>
      </c>
      <c r="F20" s="141"/>
      <c r="G20" s="493"/>
      <c r="H20" s="265" t="str">
        <f>IF(SQRT((ABS(AG20-I20))^2)/AG20&gt;0.02,"F","R")</f>
        <v>F</v>
      </c>
      <c r="I20" s="141"/>
      <c r="J20" s="265" t="str">
        <f>IF(SQRT((ABS(AI20-K20))^2)/AI20&gt;0.02,"F","R")</f>
        <v>F</v>
      </c>
      <c r="K20" s="141"/>
      <c r="L20" s="80"/>
      <c r="M20" s="5"/>
      <c r="AA20" s="437" t="s">
        <v>7</v>
      </c>
      <c r="AB20" s="446">
        <v>16.042000000000002</v>
      </c>
      <c r="AC20" s="446"/>
      <c r="AD20" s="446">
        <v>32</v>
      </c>
      <c r="AE20" s="446"/>
      <c r="AF20" s="437"/>
      <c r="AG20" s="446">
        <v>44.01</v>
      </c>
      <c r="AH20" s="446"/>
      <c r="AI20" s="446">
        <v>18.015999999999998</v>
      </c>
      <c r="AJ20" s="446"/>
    </row>
    <row r="21" spans="2:36" ht="18.75" x14ac:dyDescent="0.3">
      <c r="B21" s="280" t="s">
        <v>47</v>
      </c>
      <c r="C21" s="263" t="str">
        <f>IF(SQRT((ABS(AB21-D21))^2)/AB21&gt;0.02,"F","R")</f>
        <v>F</v>
      </c>
      <c r="D21" s="413"/>
      <c r="E21" s="265" t="str">
        <f>IF(SQRT((ABS(AD21-F21))^2)/AD21&gt;0.02,"F","R")</f>
        <v>F</v>
      </c>
      <c r="F21" s="413"/>
      <c r="G21" s="493"/>
      <c r="H21" s="265" t="str">
        <f>IF(SQRT((ABS(AG21-I21))^2)/AG21&gt;0.02,"F","R")</f>
        <v>F</v>
      </c>
      <c r="I21" s="413"/>
      <c r="J21" s="265" t="str">
        <f>IF(SQRT((ABS(AI21-K21))^2)/AI21&gt;0.02,"F","R")</f>
        <v>F</v>
      </c>
      <c r="K21" s="413"/>
      <c r="L21" s="80"/>
      <c r="M21" s="5"/>
      <c r="AA21" s="437" t="s">
        <v>8</v>
      </c>
      <c r="AB21" s="446">
        <v>3.6778456551552172</v>
      </c>
      <c r="AC21" s="446"/>
      <c r="AD21" s="446">
        <v>7.3556913103104344</v>
      </c>
      <c r="AE21" s="446"/>
      <c r="AF21" s="437"/>
      <c r="AG21" s="446">
        <v>3.6778456551552172</v>
      </c>
      <c r="AH21" s="446"/>
      <c r="AI21" s="446">
        <v>7.3556913103104344</v>
      </c>
      <c r="AJ21" s="446"/>
    </row>
    <row r="22" spans="2:36" ht="18.75" x14ac:dyDescent="0.3">
      <c r="B22" s="280" t="s">
        <v>90</v>
      </c>
      <c r="C22" s="263" t="str">
        <f>IF(OR(AND(C18=AB22,OR(D22="",D22=AB22)),D22=AB22),"R","F")</f>
        <v>F</v>
      </c>
      <c r="D22" s="13"/>
      <c r="E22" s="265" t="str">
        <f>IF(OR(AND(E18=AD22,OR(F22="",F22=AD22)),F22=AD22),"R","F")</f>
        <v>F</v>
      </c>
      <c r="F22" s="12"/>
      <c r="G22" s="494"/>
      <c r="H22" s="265" t="str">
        <f>IF(OR(AND(H18=AG22,OR(I22="",I22=AG22)),I22=AG22),"R","F")</f>
        <v>F</v>
      </c>
      <c r="I22" s="12"/>
      <c r="J22" s="265" t="str">
        <f>IF(OR(AND(J18=AI22,OR(K22="",K22=AI22)),K22=AI22),"R","F")</f>
        <v>F</v>
      </c>
      <c r="K22" s="12"/>
      <c r="L22" s="80"/>
      <c r="M22" s="5"/>
      <c r="AA22" s="437" t="s">
        <v>9</v>
      </c>
      <c r="AB22" s="446">
        <v>1</v>
      </c>
      <c r="AC22" s="446"/>
      <c r="AD22" s="446">
        <v>2</v>
      </c>
      <c r="AE22" s="446"/>
      <c r="AF22" s="437"/>
      <c r="AG22" s="446">
        <v>1</v>
      </c>
      <c r="AH22" s="446"/>
      <c r="AI22" s="446">
        <v>2</v>
      </c>
      <c r="AJ22" s="446"/>
    </row>
    <row r="23" spans="2:36" x14ac:dyDescent="0.25">
      <c r="B23" s="78"/>
      <c r="C23" s="79"/>
      <c r="D23" s="79"/>
      <c r="E23" s="79"/>
      <c r="F23" s="79"/>
      <c r="G23" s="79"/>
      <c r="H23" s="79"/>
      <c r="I23" s="79"/>
      <c r="J23" s="79"/>
      <c r="K23" s="79"/>
      <c r="L23" s="80"/>
      <c r="M23" s="5"/>
      <c r="AA23" s="437"/>
      <c r="AB23" s="437"/>
      <c r="AC23" s="437"/>
      <c r="AD23" s="437"/>
      <c r="AE23" s="437"/>
      <c r="AF23" s="437"/>
      <c r="AG23" s="437"/>
      <c r="AH23" s="437"/>
      <c r="AI23" s="437"/>
      <c r="AJ23" s="437"/>
    </row>
    <row r="24" spans="2:36" ht="18.75" x14ac:dyDescent="0.3">
      <c r="B24" s="263"/>
      <c r="C24" s="263"/>
      <c r="D24" s="280" t="str">
        <f>AC24</f>
        <v>C₃H₆</v>
      </c>
      <c r="E24" s="280"/>
      <c r="F24" s="280" t="s">
        <v>49</v>
      </c>
      <c r="G24" s="280" t="str">
        <f>AF24</f>
        <v>⟶</v>
      </c>
      <c r="H24" s="280"/>
      <c r="I24" s="280" t="s">
        <v>31</v>
      </c>
      <c r="J24" s="280"/>
      <c r="K24" s="280" t="s">
        <v>50</v>
      </c>
      <c r="L24" s="80"/>
      <c r="M24" s="5"/>
      <c r="AA24" s="437"/>
      <c r="AB24" s="437">
        <v>2</v>
      </c>
      <c r="AC24" s="445" t="s">
        <v>32</v>
      </c>
      <c r="AD24" s="445">
        <v>9</v>
      </c>
      <c r="AE24" s="445" t="s">
        <v>3</v>
      </c>
      <c r="AF24" s="445" t="s">
        <v>48</v>
      </c>
      <c r="AG24" s="445">
        <v>6</v>
      </c>
      <c r="AH24" s="445" t="s">
        <v>4</v>
      </c>
      <c r="AI24" s="445">
        <v>6</v>
      </c>
      <c r="AJ24" s="445" t="s">
        <v>5</v>
      </c>
    </row>
    <row r="25" spans="2:36" ht="18.75" x14ac:dyDescent="0.3">
      <c r="B25" s="280" t="s">
        <v>46</v>
      </c>
      <c r="C25" s="263"/>
      <c r="D25" s="337">
        <f>AB25</f>
        <v>91</v>
      </c>
      <c r="E25" s="265" t="str">
        <f>IF(SQRT((ABS(AD25-F25))^2)/AD25&gt;0.02,"F","R")</f>
        <v>F</v>
      </c>
      <c r="F25" s="99"/>
      <c r="G25" s="492"/>
      <c r="H25" s="265" t="str">
        <f>IF(SQRT((ABS(AG25-I25))^2)/AG25&gt;0.02,"F","R")</f>
        <v>F</v>
      </c>
      <c r="I25" s="99"/>
      <c r="J25" s="265" t="str">
        <f>IF(SQRT((ABS(AI25-K25))^2)/AI25&gt;0.02,"F","R")</f>
        <v>F</v>
      </c>
      <c r="K25" s="99"/>
      <c r="L25" s="80"/>
      <c r="M25" s="5"/>
      <c r="AA25" s="437" t="s">
        <v>6</v>
      </c>
      <c r="AB25" s="446">
        <v>91</v>
      </c>
      <c r="AC25" s="446"/>
      <c r="AD25" s="446">
        <v>311.42164551547125</v>
      </c>
      <c r="AE25" s="446"/>
      <c r="AF25" s="437"/>
      <c r="AG25" s="446">
        <v>285.53472123199765</v>
      </c>
      <c r="AH25" s="446"/>
      <c r="AI25" s="446">
        <v>116.88692428347352</v>
      </c>
      <c r="AJ25" s="446"/>
    </row>
    <row r="26" spans="2:36" ht="18.75" x14ac:dyDescent="0.3">
      <c r="B26" s="280" t="s">
        <v>45</v>
      </c>
      <c r="C26" s="263" t="str">
        <f>IF(SQRT((ABS(AB26-D26))^2)/AB26&gt;0.02,"F","R")</f>
        <v>F</v>
      </c>
      <c r="D26" s="141"/>
      <c r="E26" s="265" t="str">
        <f>IF(SQRT((ABS(AD26-F26))^2)/AD26&gt;0.02,"F","R")</f>
        <v>F</v>
      </c>
      <c r="F26" s="141"/>
      <c r="G26" s="493"/>
      <c r="H26" s="265" t="str">
        <f>IF(SQRT((ABS(AG26-I26))^2)/AG26&gt;0.02,"F","R")</f>
        <v>F</v>
      </c>
      <c r="I26" s="141"/>
      <c r="J26" s="265" t="str">
        <f>IF(SQRT((ABS(AI26-K26))^2)/AI26&gt;0.02,"F","R")</f>
        <v>F</v>
      </c>
      <c r="K26" s="141"/>
      <c r="L26" s="80"/>
      <c r="M26" s="5"/>
      <c r="AA26" s="437" t="s">
        <v>7</v>
      </c>
      <c r="AB26" s="446">
        <v>42.078000000000003</v>
      </c>
      <c r="AC26" s="446"/>
      <c r="AD26" s="446">
        <v>32</v>
      </c>
      <c r="AE26" s="446"/>
      <c r="AF26" s="437"/>
      <c r="AG26" s="446">
        <v>44.01</v>
      </c>
      <c r="AH26" s="446"/>
      <c r="AI26" s="446">
        <v>18.015999999999998</v>
      </c>
      <c r="AJ26" s="446"/>
    </row>
    <row r="27" spans="2:36" ht="18.75" x14ac:dyDescent="0.3">
      <c r="B27" s="280" t="s">
        <v>47</v>
      </c>
      <c r="C27" s="263" t="str">
        <f>IF(SQRT((ABS(AB27-D27))^2)/AB27&gt;0.02,"F","R")</f>
        <v>F</v>
      </c>
      <c r="D27" s="413"/>
      <c r="E27" s="265" t="str">
        <f>IF(SQRT((ABS(AD27-F27))^2)/AD27&gt;0.02,"F","R")</f>
        <v>F</v>
      </c>
      <c r="F27" s="413"/>
      <c r="G27" s="493"/>
      <c r="H27" s="265" t="str">
        <f>IF(SQRT((ABS(AG27-I27))^2)/AG27&gt;0.02,"F","R")</f>
        <v>F</v>
      </c>
      <c r="I27" s="413"/>
      <c r="J27" s="265" t="str">
        <f>IF(SQRT((ABS(AI27-K27))^2)/AI27&gt;0.02,"F","R")</f>
        <v>F</v>
      </c>
      <c r="K27" s="413"/>
      <c r="L27" s="80"/>
      <c r="M27" s="5"/>
      <c r="AA27" s="437" t="s">
        <v>8</v>
      </c>
      <c r="AB27" s="446">
        <v>2.1626503160796613</v>
      </c>
      <c r="AC27" s="446"/>
      <c r="AD27" s="446">
        <v>9.7319264223584767</v>
      </c>
      <c r="AE27" s="446"/>
      <c r="AF27" s="437"/>
      <c r="AG27" s="446">
        <v>6.4879509482389839</v>
      </c>
      <c r="AH27" s="446"/>
      <c r="AI27" s="446">
        <v>6.4879509482389839</v>
      </c>
      <c r="AJ27" s="446"/>
    </row>
    <row r="28" spans="2:36" ht="18.75" x14ac:dyDescent="0.3">
      <c r="B28" s="280" t="s">
        <v>90</v>
      </c>
      <c r="C28" s="263" t="str">
        <f>IF(OR(AND(C24=AB28,OR(D28="",D28=AB28)),D28=AB28),"R","F")</f>
        <v>F</v>
      </c>
      <c r="D28" s="13"/>
      <c r="E28" s="265" t="str">
        <f>IF(OR(AND(E24=AD28,OR(F28="",F28=AD28)),F28=AD28),"R","F")</f>
        <v>F</v>
      </c>
      <c r="F28" s="12"/>
      <c r="G28" s="494"/>
      <c r="H28" s="265" t="str">
        <f>IF(OR(AND(H24=AG28,OR(I28="",I28=AG28)),I28=AG28),"R","F")</f>
        <v>F</v>
      </c>
      <c r="I28" s="12"/>
      <c r="J28" s="265" t="str">
        <f>IF(OR(AND(J24=AI28,OR(K28="",K28=AI28)),K28=AI28),"R","F")</f>
        <v>F</v>
      </c>
      <c r="K28" s="12"/>
      <c r="L28" s="80"/>
      <c r="M28" s="5"/>
      <c r="AA28" s="437" t="s">
        <v>9</v>
      </c>
      <c r="AB28" s="446">
        <v>2</v>
      </c>
      <c r="AC28" s="446"/>
      <c r="AD28" s="446">
        <v>9</v>
      </c>
      <c r="AE28" s="446"/>
      <c r="AF28" s="437"/>
      <c r="AG28" s="446">
        <v>6</v>
      </c>
      <c r="AH28" s="446"/>
      <c r="AI28" s="446">
        <v>6</v>
      </c>
      <c r="AJ28" s="446"/>
    </row>
    <row r="29" spans="2:36" x14ac:dyDescent="0.25">
      <c r="B29" s="78"/>
      <c r="C29" s="79"/>
      <c r="D29" s="79"/>
      <c r="E29" s="79"/>
      <c r="F29" s="79"/>
      <c r="G29" s="79"/>
      <c r="H29" s="79"/>
      <c r="I29" s="79"/>
      <c r="J29" s="79"/>
      <c r="K29" s="79"/>
      <c r="L29" s="80"/>
      <c r="AA29" s="437"/>
      <c r="AB29" s="437"/>
      <c r="AC29" s="437"/>
      <c r="AD29" s="437"/>
      <c r="AE29" s="437"/>
      <c r="AF29" s="437"/>
      <c r="AG29" s="437"/>
      <c r="AH29" s="437"/>
      <c r="AI29" s="437"/>
      <c r="AJ29" s="437"/>
    </row>
    <row r="30" spans="2:36" ht="18.75" x14ac:dyDescent="0.3">
      <c r="B30" s="263"/>
      <c r="C30" s="263"/>
      <c r="D30" s="280" t="str">
        <f>AC30</f>
        <v>C₃H₇OH</v>
      </c>
      <c r="E30" s="280"/>
      <c r="F30" s="280" t="s">
        <v>49</v>
      </c>
      <c r="G30" s="280" t="str">
        <f>AF30</f>
        <v>⟶</v>
      </c>
      <c r="H30" s="280"/>
      <c r="I30" s="280" t="s">
        <v>31</v>
      </c>
      <c r="J30" s="280"/>
      <c r="K30" s="280" t="s">
        <v>50</v>
      </c>
      <c r="L30" s="80"/>
      <c r="AA30" s="437"/>
      <c r="AB30" s="437">
        <v>2</v>
      </c>
      <c r="AC30" s="445" t="s">
        <v>34</v>
      </c>
      <c r="AD30" s="445">
        <v>9</v>
      </c>
      <c r="AE30" s="445" t="s">
        <v>3</v>
      </c>
      <c r="AF30" s="445" t="s">
        <v>48</v>
      </c>
      <c r="AG30" s="445">
        <v>6</v>
      </c>
      <c r="AH30" s="445" t="s">
        <v>4</v>
      </c>
      <c r="AI30" s="445">
        <v>8</v>
      </c>
      <c r="AJ30" s="445" t="s">
        <v>5</v>
      </c>
    </row>
    <row r="31" spans="2:36" ht="18.75" x14ac:dyDescent="0.3">
      <c r="B31" s="280" t="s">
        <v>46</v>
      </c>
      <c r="C31" s="263"/>
      <c r="D31" s="337">
        <f>AB31</f>
        <v>101</v>
      </c>
      <c r="E31" s="265" t="str">
        <f>IF(SQRT((ABS(AD31-F31))^2)/AD31&gt;0.02,"F","R")</f>
        <v>F</v>
      </c>
      <c r="F31" s="99"/>
      <c r="G31" s="492"/>
      <c r="H31" s="265" t="str">
        <f>IF(SQRT((ABS(AG31-I31))^2)/AG31&gt;0.02,"F","R")</f>
        <v>F</v>
      </c>
      <c r="I31" s="99"/>
      <c r="J31" s="265" t="str">
        <f>IF(SQRT((ABS(AI31-K31))^2)/AI31&gt;0.02,"F","R")</f>
        <v>F</v>
      </c>
      <c r="K31" s="99"/>
      <c r="L31" s="80"/>
      <c r="AA31" s="437" t="s">
        <v>6</v>
      </c>
      <c r="AB31" s="446">
        <v>101</v>
      </c>
      <c r="AC31" s="446"/>
      <c r="AD31" s="446">
        <v>242.02083402669152</v>
      </c>
      <c r="AE31" s="446"/>
      <c r="AF31" s="437"/>
      <c r="AG31" s="446">
        <v>221.9028521982228</v>
      </c>
      <c r="AH31" s="446"/>
      <c r="AI31" s="446">
        <v>121.11798182846873</v>
      </c>
      <c r="AJ31" s="446"/>
    </row>
    <row r="32" spans="2:36" ht="18.75" x14ac:dyDescent="0.3">
      <c r="B32" s="280" t="s">
        <v>45</v>
      </c>
      <c r="C32" s="263" t="str">
        <f>IF(SQRT((ABS(AB32-D32))^2)/AB32&gt;0.02,"F","R")</f>
        <v>F</v>
      </c>
      <c r="D32" s="141"/>
      <c r="E32" s="265" t="str">
        <f>IF(SQRT((ABS(AD32-F32))^2)/AD32&gt;0.02,"F","R")</f>
        <v>F</v>
      </c>
      <c r="F32" s="141"/>
      <c r="G32" s="493"/>
      <c r="H32" s="265" t="str">
        <f>IF(SQRT((ABS(AG32-I32))^2)/AG32&gt;0.02,"F","R")</f>
        <v>F</v>
      </c>
      <c r="I32" s="141"/>
      <c r="J32" s="265" t="str">
        <f>IF(SQRT((ABS(AI32-K32))^2)/AI32&gt;0.02,"F","R")</f>
        <v>F</v>
      </c>
      <c r="K32" s="141"/>
      <c r="L32" s="80"/>
      <c r="AA32" s="437" t="s">
        <v>7</v>
      </c>
      <c r="AB32" s="446">
        <v>60.094000000000001</v>
      </c>
      <c r="AC32" s="446"/>
      <c r="AD32" s="446">
        <v>32</v>
      </c>
      <c r="AE32" s="446"/>
      <c r="AF32" s="437"/>
      <c r="AG32" s="446">
        <v>44.01</v>
      </c>
      <c r="AH32" s="446"/>
      <c r="AI32" s="446">
        <v>18.015999999999998</v>
      </c>
      <c r="AJ32" s="446"/>
    </row>
    <row r="33" spans="2:36" ht="18.75" x14ac:dyDescent="0.3">
      <c r="B33" s="280" t="s">
        <v>47</v>
      </c>
      <c r="C33" s="263" t="str">
        <f>IF(SQRT((ABS(AB33-D33))^2)/AB33&gt;0.02,"F","R")</f>
        <v>F</v>
      </c>
      <c r="D33" s="413"/>
      <c r="E33" s="265" t="str">
        <f>IF(SQRT((ABS(AD33-F33))^2)/AD33&gt;0.02,"F","R")</f>
        <v>F</v>
      </c>
      <c r="F33" s="413"/>
      <c r="G33" s="493"/>
      <c r="H33" s="265" t="str">
        <f>IF(SQRT((ABS(AG33-I33))^2)/AG33&gt;0.02,"F","R")</f>
        <v>F</v>
      </c>
      <c r="I33" s="413"/>
      <c r="J33" s="265" t="str">
        <f>IF(SQRT((ABS(AI33-K33))^2)/AI33&gt;0.02,"F","R")</f>
        <v>F</v>
      </c>
      <c r="K33" s="413"/>
      <c r="L33" s="80"/>
      <c r="AA33" s="437" t="s">
        <v>8</v>
      </c>
      <c r="AB33" s="446">
        <v>1.6807002362964689</v>
      </c>
      <c r="AC33" s="446"/>
      <c r="AD33" s="446">
        <v>7.5631510633341099</v>
      </c>
      <c r="AE33" s="446"/>
      <c r="AF33" s="437"/>
      <c r="AG33" s="446">
        <v>5.0421007088894072</v>
      </c>
      <c r="AH33" s="446"/>
      <c r="AI33" s="446">
        <v>6.7228009451858757</v>
      </c>
      <c r="AJ33" s="446"/>
    </row>
    <row r="34" spans="2:36" ht="18.75" x14ac:dyDescent="0.3">
      <c r="B34" s="280" t="s">
        <v>90</v>
      </c>
      <c r="C34" s="263" t="str">
        <f>IF(OR(AND(C30=AB34,OR(D34="",D34=AB34)),D34=AB34),"R","F")</f>
        <v>F</v>
      </c>
      <c r="D34" s="13"/>
      <c r="E34" s="265" t="str">
        <f>IF(OR(AND(E30=AD34,OR(F34="",F34=AD34)),F34=AD34),"R","F")</f>
        <v>F</v>
      </c>
      <c r="F34" s="12"/>
      <c r="G34" s="494"/>
      <c r="H34" s="265" t="str">
        <f>IF(OR(AND(H30=AG34,OR(I34="",I34=AG34)),I34=AG34),"R","F")</f>
        <v>F</v>
      </c>
      <c r="I34" s="12"/>
      <c r="J34" s="265" t="str">
        <f>IF(OR(AND(J30=AI34,OR(K34="",K34=AI34)),K34=AI34),"R","F")</f>
        <v>F</v>
      </c>
      <c r="K34" s="12"/>
      <c r="L34" s="80"/>
      <c r="AA34" s="437" t="s">
        <v>9</v>
      </c>
      <c r="AB34" s="446">
        <v>2</v>
      </c>
      <c r="AC34" s="446"/>
      <c r="AD34" s="446">
        <v>9</v>
      </c>
      <c r="AE34" s="446"/>
      <c r="AF34" s="437"/>
      <c r="AG34" s="446">
        <v>6</v>
      </c>
      <c r="AH34" s="446"/>
      <c r="AI34" s="446">
        <v>8</v>
      </c>
      <c r="AJ34" s="446"/>
    </row>
    <row r="35" spans="2:36" x14ac:dyDescent="0.25">
      <c r="B35" s="78"/>
      <c r="C35" s="79"/>
      <c r="D35" s="79"/>
      <c r="E35" s="79"/>
      <c r="F35" s="79"/>
      <c r="G35" s="79"/>
      <c r="H35" s="79"/>
      <c r="I35" s="79"/>
      <c r="J35" s="79"/>
      <c r="K35" s="79"/>
      <c r="L35" s="80"/>
      <c r="AA35" s="437"/>
      <c r="AB35" s="437"/>
      <c r="AC35" s="437"/>
      <c r="AD35" s="437"/>
      <c r="AE35" s="437"/>
      <c r="AF35" s="437"/>
      <c r="AG35" s="437"/>
      <c r="AH35" s="437"/>
      <c r="AI35" s="437"/>
      <c r="AJ35" s="437"/>
    </row>
    <row r="36" spans="2:36" ht="18.75" x14ac:dyDescent="0.3">
      <c r="B36" s="263"/>
      <c r="C36" s="263"/>
      <c r="D36" s="280" t="str">
        <f>AC36</f>
        <v>C₁₁H₂₄</v>
      </c>
      <c r="E36" s="280"/>
      <c r="F36" s="280" t="s">
        <v>49</v>
      </c>
      <c r="G36" s="280" t="str">
        <f>AF36</f>
        <v>⟶</v>
      </c>
      <c r="H36" s="280"/>
      <c r="I36" s="280" t="s">
        <v>31</v>
      </c>
      <c r="J36" s="280"/>
      <c r="K36" s="280" t="s">
        <v>50</v>
      </c>
      <c r="L36" s="80"/>
      <c r="AA36" s="437"/>
      <c r="AB36" s="437">
        <v>1</v>
      </c>
      <c r="AC36" s="445" t="s">
        <v>35</v>
      </c>
      <c r="AD36" s="445">
        <v>17</v>
      </c>
      <c r="AE36" s="445" t="s">
        <v>3</v>
      </c>
      <c r="AF36" s="445" t="s">
        <v>48</v>
      </c>
      <c r="AG36" s="445">
        <v>11</v>
      </c>
      <c r="AH36" s="445" t="s">
        <v>4</v>
      </c>
      <c r="AI36" s="445">
        <v>12</v>
      </c>
      <c r="AJ36" s="445" t="s">
        <v>5</v>
      </c>
    </row>
    <row r="37" spans="2:36" ht="18.75" x14ac:dyDescent="0.3">
      <c r="B37" s="280" t="s">
        <v>46</v>
      </c>
      <c r="C37" s="263"/>
      <c r="D37" s="337">
        <f>AB37</f>
        <v>169</v>
      </c>
      <c r="E37" s="265" t="str">
        <f>IF(SQRT((ABS(AD37-F37))^2)/AD37&gt;0.02,"F","R")</f>
        <v>F</v>
      </c>
      <c r="F37" s="99"/>
      <c r="G37" s="492"/>
      <c r="H37" s="265" t="str">
        <f>IF(SQRT((ABS(AG37-I37))^2)/AG37&gt;0.02,"F","R")</f>
        <v>F</v>
      </c>
      <c r="I37" s="99"/>
      <c r="J37" s="265" t="str">
        <f>IF(SQRT((ABS(AI37-K37))^2)/AI37&gt;0.02,"F","R")</f>
        <v>F</v>
      </c>
      <c r="K37" s="99"/>
      <c r="L37" s="80"/>
      <c r="AA37" s="437" t="s">
        <v>6</v>
      </c>
      <c r="AB37" s="446">
        <v>169</v>
      </c>
      <c r="AC37" s="446"/>
      <c r="AD37" s="446">
        <v>588.19464882087243</v>
      </c>
      <c r="AE37" s="446"/>
      <c r="AF37" s="437"/>
      <c r="AG37" s="446">
        <v>523.43917544241276</v>
      </c>
      <c r="AH37" s="446"/>
      <c r="AI37" s="446">
        <v>233.75547337845964</v>
      </c>
      <c r="AJ37" s="446"/>
    </row>
    <row r="38" spans="2:36" ht="18.75" x14ac:dyDescent="0.3">
      <c r="B38" s="280" t="s">
        <v>45</v>
      </c>
      <c r="C38" s="263" t="str">
        <f>IF(SQRT((ABS(AB38-D38))^2)/AB38&gt;0.02,"F","R")</f>
        <v>F</v>
      </c>
      <c r="D38" s="141"/>
      <c r="E38" s="265" t="str">
        <f>IF(SQRT((ABS(AD38-F38))^2)/AD38&gt;0.02,"F","R")</f>
        <v>F</v>
      </c>
      <c r="F38" s="141"/>
      <c r="G38" s="493"/>
      <c r="H38" s="265" t="str">
        <f>IF(SQRT((ABS(AG38-I38))^2)/AG38&gt;0.02,"F","R")</f>
        <v>F</v>
      </c>
      <c r="I38" s="141"/>
      <c r="J38" s="265" t="str">
        <f>IF(SQRT((ABS(AI38-K38))^2)/AI38&gt;0.02,"F","R")</f>
        <v>F</v>
      </c>
      <c r="K38" s="141"/>
      <c r="L38" s="80"/>
      <c r="AA38" s="437" t="s">
        <v>7</v>
      </c>
      <c r="AB38" s="446">
        <v>156.30199999999999</v>
      </c>
      <c r="AC38" s="446"/>
      <c r="AD38" s="446">
        <v>32</v>
      </c>
      <c r="AE38" s="446"/>
      <c r="AF38" s="437"/>
      <c r="AG38" s="446">
        <v>44.01</v>
      </c>
      <c r="AH38" s="446"/>
      <c r="AI38" s="446">
        <v>18.015999999999998</v>
      </c>
      <c r="AJ38" s="446"/>
    </row>
    <row r="39" spans="2:36" ht="18.75" x14ac:dyDescent="0.3">
      <c r="B39" s="280" t="s">
        <v>47</v>
      </c>
      <c r="C39" s="263" t="str">
        <f>IF(SQRT((ABS(AB39-D39))^2)/AB39&gt;0.02,"F","R")</f>
        <v>F</v>
      </c>
      <c r="D39" s="413"/>
      <c r="E39" s="265" t="str">
        <f>IF(SQRT((ABS(AD39-F39))^2)/AD39&gt;0.02,"F","R")</f>
        <v>F</v>
      </c>
      <c r="F39" s="413"/>
      <c r="G39" s="493"/>
      <c r="H39" s="265" t="str">
        <f>IF(SQRT((ABS(AG39-I39))^2)/AG39&gt;0.02,"F","R")</f>
        <v>F</v>
      </c>
      <c r="I39" s="413"/>
      <c r="J39" s="265" t="str">
        <f>IF(SQRT((ABS(AI39-K39))^2)/AI39&gt;0.02,"F","R")</f>
        <v>F</v>
      </c>
      <c r="K39" s="413"/>
      <c r="L39" s="80"/>
      <c r="AA39" s="437" t="s">
        <v>8</v>
      </c>
      <c r="AB39" s="446">
        <v>1.0812401632736626</v>
      </c>
      <c r="AC39" s="446"/>
      <c r="AD39" s="446">
        <v>18.381082775652263</v>
      </c>
      <c r="AE39" s="446"/>
      <c r="AF39" s="437"/>
      <c r="AG39" s="446">
        <v>11.893641796010288</v>
      </c>
      <c r="AH39" s="446"/>
      <c r="AI39" s="446">
        <v>12.974881959283952</v>
      </c>
      <c r="AJ39" s="446"/>
    </row>
    <row r="40" spans="2:36" ht="18.75" x14ac:dyDescent="0.3">
      <c r="B40" s="280" t="s">
        <v>90</v>
      </c>
      <c r="C40" s="263" t="str">
        <f>IF(OR(AND(C36=AB40,OR(D40="",D40=AB40)),D40=AB40),"R","F")</f>
        <v>F</v>
      </c>
      <c r="D40" s="13"/>
      <c r="E40" s="265" t="str">
        <f>IF(OR(AND(E36=AD40,OR(F40="",F40=AD40)),F40=AD40),"R","F")</f>
        <v>F</v>
      </c>
      <c r="F40" s="12"/>
      <c r="G40" s="494"/>
      <c r="H40" s="265" t="str">
        <f>IF(OR(AND(H36=AG40,OR(I40="",I40=AG40)),I40=AG40),"R","F")</f>
        <v>F</v>
      </c>
      <c r="I40" s="12"/>
      <c r="J40" s="265" t="str">
        <f>IF(OR(AND(J36=AI40,OR(K40="",K40=AI40)),K40=AI40),"R","F")</f>
        <v>F</v>
      </c>
      <c r="K40" s="12"/>
      <c r="L40" s="80"/>
      <c r="AA40" s="437" t="s">
        <v>9</v>
      </c>
      <c r="AB40" s="446">
        <v>1</v>
      </c>
      <c r="AC40" s="446"/>
      <c r="AD40" s="446">
        <v>17</v>
      </c>
      <c r="AE40" s="446"/>
      <c r="AF40" s="437"/>
      <c r="AG40" s="446">
        <v>11</v>
      </c>
      <c r="AH40" s="446"/>
      <c r="AI40" s="446">
        <v>12</v>
      </c>
      <c r="AJ40" s="446"/>
    </row>
    <row r="41" spans="2:36" x14ac:dyDescent="0.25">
      <c r="B41" s="78"/>
      <c r="C41" s="79"/>
      <c r="D41" s="79"/>
      <c r="E41" s="79"/>
      <c r="F41" s="79"/>
      <c r="G41" s="79"/>
      <c r="H41" s="79"/>
      <c r="I41" s="79"/>
      <c r="J41" s="79"/>
      <c r="K41" s="79"/>
      <c r="L41" s="80"/>
      <c r="AA41" s="437"/>
      <c r="AB41" s="437"/>
      <c r="AC41" s="437"/>
      <c r="AD41" s="437"/>
      <c r="AE41" s="437"/>
      <c r="AF41" s="437"/>
      <c r="AG41" s="437"/>
      <c r="AH41" s="437"/>
      <c r="AI41" s="437"/>
      <c r="AJ41" s="437"/>
    </row>
    <row r="42" spans="2:36" ht="18.75" x14ac:dyDescent="0.3">
      <c r="B42" s="263"/>
      <c r="C42" s="263"/>
      <c r="D42" s="280" t="str">
        <f>AC42</f>
        <v>CH₃OH</v>
      </c>
      <c r="E42" s="280"/>
      <c r="F42" s="280" t="s">
        <v>49</v>
      </c>
      <c r="G42" s="280" t="str">
        <f>AF42</f>
        <v>⟶</v>
      </c>
      <c r="H42" s="280"/>
      <c r="I42" s="280" t="s">
        <v>31</v>
      </c>
      <c r="J42" s="280"/>
      <c r="K42" s="280" t="s">
        <v>50</v>
      </c>
      <c r="L42" s="80"/>
      <c r="AA42" s="437"/>
      <c r="AB42" s="437">
        <v>2</v>
      </c>
      <c r="AC42" s="445" t="s">
        <v>36</v>
      </c>
      <c r="AD42" s="445">
        <v>3</v>
      </c>
      <c r="AE42" s="445" t="s">
        <v>3</v>
      </c>
      <c r="AF42" s="445" t="s">
        <v>48</v>
      </c>
      <c r="AG42" s="445">
        <v>2</v>
      </c>
      <c r="AH42" s="445" t="s">
        <v>4</v>
      </c>
      <c r="AI42" s="445">
        <v>4</v>
      </c>
      <c r="AJ42" s="445" t="s">
        <v>5</v>
      </c>
    </row>
    <row r="43" spans="2:36" ht="18.75" x14ac:dyDescent="0.3">
      <c r="B43" s="280" t="s">
        <v>46</v>
      </c>
      <c r="C43" s="263"/>
      <c r="D43" s="337">
        <f>AB43</f>
        <v>35</v>
      </c>
      <c r="E43" s="265" t="str">
        <f>IF(SQRT((ABS(AD43-F43))^2)/AD43&gt;0.02,"F","R")</f>
        <v>F</v>
      </c>
      <c r="F43" s="99"/>
      <c r="G43" s="492"/>
      <c r="H43" s="265" t="str">
        <f>IF(SQRT((ABS(AG43-I43))^2)/AG43&gt;0.02,"F","R")</f>
        <v>F</v>
      </c>
      <c r="I43" s="99"/>
      <c r="J43" s="265" t="str">
        <f>IF(SQRT((ABS(AI43-K43))^2)/AI43&gt;0.02,"F","R")</f>
        <v>F</v>
      </c>
      <c r="K43" s="99"/>
      <c r="L43" s="80"/>
      <c r="AA43" s="437" t="s">
        <v>6</v>
      </c>
      <c r="AB43" s="446">
        <v>35</v>
      </c>
      <c r="AC43" s="446"/>
      <c r="AD43" s="446">
        <v>52.431184070906937</v>
      </c>
      <c r="AE43" s="446"/>
      <c r="AF43" s="437"/>
      <c r="AG43" s="446">
        <v>48.072841895012793</v>
      </c>
      <c r="AH43" s="446"/>
      <c r="AI43" s="446">
        <v>39.358342175894137</v>
      </c>
      <c r="AJ43" s="446"/>
    </row>
    <row r="44" spans="2:36" ht="18.75" x14ac:dyDescent="0.3">
      <c r="B44" s="280" t="s">
        <v>45</v>
      </c>
      <c r="C44" s="263" t="str">
        <f>IF(SQRT((ABS(AB44-D44))^2)/AB44&gt;0.02,"F","R")</f>
        <v>F</v>
      </c>
      <c r="D44" s="141"/>
      <c r="E44" s="265" t="str">
        <f>IF(SQRT((ABS(AD44-F44))^2)/AD44&gt;0.02,"F","R")</f>
        <v>F</v>
      </c>
      <c r="F44" s="141"/>
      <c r="G44" s="493"/>
      <c r="H44" s="265" t="str">
        <f>IF(SQRT((ABS(AG44-I44))^2)/AG44&gt;0.02,"F","R")</f>
        <v>F</v>
      </c>
      <c r="I44" s="141"/>
      <c r="J44" s="265" t="str">
        <f>IF(SQRT((ABS(AI44-K44))^2)/AI44&gt;0.02,"F","R")</f>
        <v>F</v>
      </c>
      <c r="K44" s="141"/>
      <c r="L44" s="80"/>
      <c r="AA44" s="437" t="s">
        <v>7</v>
      </c>
      <c r="AB44" s="446">
        <v>32.042000000000002</v>
      </c>
      <c r="AC44" s="446"/>
      <c r="AD44" s="446">
        <v>32</v>
      </c>
      <c r="AE44" s="446"/>
      <c r="AF44" s="437"/>
      <c r="AG44" s="446">
        <v>44.01</v>
      </c>
      <c r="AH44" s="446"/>
      <c r="AI44" s="446">
        <v>18.015999999999998</v>
      </c>
      <c r="AJ44" s="446"/>
    </row>
    <row r="45" spans="2:36" ht="18.75" x14ac:dyDescent="0.3">
      <c r="B45" s="280" t="s">
        <v>47</v>
      </c>
      <c r="C45" s="263" t="str">
        <f>IF(SQRT((ABS(AB45-D45))^2)/AB45&gt;0.02,"F","R")</f>
        <v>F</v>
      </c>
      <c r="D45" s="413"/>
      <c r="E45" s="265" t="str">
        <f>IF(SQRT((ABS(AD45-F45))^2)/AD45&gt;0.02,"F","R")</f>
        <v>F</v>
      </c>
      <c r="F45" s="413"/>
      <c r="G45" s="493"/>
      <c r="H45" s="265" t="str">
        <f>IF(SQRT((ABS(AG45-I45))^2)/AG45&gt;0.02,"F","R")</f>
        <v>F</v>
      </c>
      <c r="I45" s="413"/>
      <c r="J45" s="265" t="str">
        <f>IF(SQRT((ABS(AI45-K45))^2)/AI45&gt;0.02,"F","R")</f>
        <v>F</v>
      </c>
      <c r="K45" s="413"/>
      <c r="L45" s="80"/>
      <c r="AA45" s="437" t="s">
        <v>8</v>
      </c>
      <c r="AB45" s="446">
        <v>1.0923163348105611</v>
      </c>
      <c r="AC45" s="446"/>
      <c r="AD45" s="446">
        <v>1.6384745022158418</v>
      </c>
      <c r="AE45" s="446"/>
      <c r="AF45" s="437"/>
      <c r="AG45" s="446">
        <v>1.0923163348105611</v>
      </c>
      <c r="AH45" s="446"/>
      <c r="AI45" s="446">
        <v>2.1846326696211222</v>
      </c>
      <c r="AJ45" s="446"/>
    </row>
    <row r="46" spans="2:36" ht="18.75" x14ac:dyDescent="0.3">
      <c r="B46" s="280" t="s">
        <v>90</v>
      </c>
      <c r="C46" s="263" t="str">
        <f>IF(OR(AND(C42=AB46,OR(D46="",D46=AB46)),D46=AB46),"R","F")</f>
        <v>F</v>
      </c>
      <c r="D46" s="13"/>
      <c r="E46" s="265" t="str">
        <f>IF(OR(AND(E42=AD46,OR(F46="",F46=AD46)),F46=AD46),"R","F")</f>
        <v>F</v>
      </c>
      <c r="F46" s="12"/>
      <c r="G46" s="494"/>
      <c r="H46" s="265" t="str">
        <f>IF(OR(AND(H42=AG46,OR(I46="",I46=AG46)),I46=AG46),"R","F")</f>
        <v>F</v>
      </c>
      <c r="I46" s="12"/>
      <c r="J46" s="265" t="str">
        <f>IF(OR(AND(J42=AI46,OR(K46="",K46=AI46)),K46=AI46),"R","F")</f>
        <v>F</v>
      </c>
      <c r="K46" s="12"/>
      <c r="L46" s="80"/>
      <c r="AA46" s="437" t="s">
        <v>9</v>
      </c>
      <c r="AB46" s="446">
        <v>2</v>
      </c>
      <c r="AC46" s="446"/>
      <c r="AD46" s="446">
        <v>3</v>
      </c>
      <c r="AE46" s="446"/>
      <c r="AF46" s="437"/>
      <c r="AG46" s="446">
        <v>2</v>
      </c>
      <c r="AH46" s="446"/>
      <c r="AI46" s="446">
        <v>4</v>
      </c>
      <c r="AJ46" s="446"/>
    </row>
    <row r="47" spans="2:36" x14ac:dyDescent="0.25">
      <c r="B47" s="78"/>
      <c r="C47" s="79"/>
      <c r="D47" s="79"/>
      <c r="E47" s="79"/>
      <c r="F47" s="79"/>
      <c r="G47" s="79"/>
      <c r="H47" s="79"/>
      <c r="I47" s="79"/>
      <c r="J47" s="79"/>
      <c r="K47" s="79"/>
      <c r="L47" s="80"/>
      <c r="AA47" s="437"/>
      <c r="AB47" s="437"/>
      <c r="AC47" s="437"/>
      <c r="AD47" s="437"/>
      <c r="AE47" s="437"/>
      <c r="AF47" s="437"/>
      <c r="AG47" s="437"/>
      <c r="AH47" s="437"/>
      <c r="AI47" s="437"/>
      <c r="AJ47" s="437"/>
    </row>
    <row r="48" spans="2:36" ht="18.75" x14ac:dyDescent="0.3">
      <c r="B48" s="263"/>
      <c r="C48" s="263"/>
      <c r="D48" s="280" t="str">
        <f>AC48</f>
        <v>C₃H₈</v>
      </c>
      <c r="E48" s="280"/>
      <c r="F48" s="280" t="s">
        <v>49</v>
      </c>
      <c r="G48" s="280" t="str">
        <f>AF48</f>
        <v>⟶</v>
      </c>
      <c r="H48" s="280"/>
      <c r="I48" s="280" t="s">
        <v>31</v>
      </c>
      <c r="J48" s="280"/>
      <c r="K48" s="280" t="s">
        <v>50</v>
      </c>
      <c r="L48" s="80"/>
      <c r="AA48" s="437"/>
      <c r="AB48" s="437">
        <v>1</v>
      </c>
      <c r="AC48" s="445" t="s">
        <v>37</v>
      </c>
      <c r="AD48" s="445">
        <v>5</v>
      </c>
      <c r="AE48" s="445" t="s">
        <v>3</v>
      </c>
      <c r="AF48" s="445" t="s">
        <v>48</v>
      </c>
      <c r="AG48" s="445">
        <v>3</v>
      </c>
      <c r="AH48" s="445" t="s">
        <v>4</v>
      </c>
      <c r="AI48" s="445">
        <v>4</v>
      </c>
      <c r="AJ48" s="445" t="s">
        <v>5</v>
      </c>
    </row>
    <row r="49" spans="2:36" ht="18.75" x14ac:dyDescent="0.3">
      <c r="B49" s="280" t="s">
        <v>46</v>
      </c>
      <c r="C49" s="263"/>
      <c r="D49" s="337">
        <f>AB49</f>
        <v>152</v>
      </c>
      <c r="E49" s="265" t="str">
        <f>IF(SQRT((ABS(AD49-F49))^2)/AD49&gt;0.02,"F","R")</f>
        <v>F</v>
      </c>
      <c r="F49" s="99"/>
      <c r="G49" s="492"/>
      <c r="H49" s="265" t="str">
        <f>IF(SQRT((ABS(AG49-I49))^2)/AG49&gt;0.02,"F","R")</f>
        <v>F</v>
      </c>
      <c r="I49" s="99"/>
      <c r="J49" s="265" t="str">
        <f>IF(SQRT((ABS(AI49-K49))^2)/AI49&gt;0.02,"F","R")</f>
        <v>F</v>
      </c>
      <c r="K49" s="99"/>
      <c r="L49" s="80"/>
      <c r="AA49" s="437" t="s">
        <v>6</v>
      </c>
      <c r="AB49" s="446">
        <v>152</v>
      </c>
      <c r="AC49" s="446"/>
      <c r="AD49" s="446">
        <v>551.54896357781104</v>
      </c>
      <c r="AE49" s="446"/>
      <c r="AF49" s="437"/>
      <c r="AG49" s="446">
        <v>455.13131038236497</v>
      </c>
      <c r="AH49" s="446"/>
      <c r="AI49" s="446">
        <v>248.41765319544606</v>
      </c>
      <c r="AJ49" s="446"/>
    </row>
    <row r="50" spans="2:36" ht="18.75" x14ac:dyDescent="0.3">
      <c r="B50" s="280" t="s">
        <v>45</v>
      </c>
      <c r="C50" s="263" t="str">
        <f>IF(SQRT((ABS(AB50-D50))^2)/AB50&gt;0.02,"F","R")</f>
        <v>F</v>
      </c>
      <c r="D50" s="141"/>
      <c r="E50" s="265" t="str">
        <f>IF(SQRT((ABS(AD50-F50))^2)/AD50&gt;0.02,"F","R")</f>
        <v>F</v>
      </c>
      <c r="F50" s="141"/>
      <c r="G50" s="493"/>
      <c r="H50" s="265" t="str">
        <f>IF(SQRT((ABS(AG50-I50))^2)/AG50&gt;0.02,"F","R")</f>
        <v>F</v>
      </c>
      <c r="I50" s="141"/>
      <c r="J50" s="265" t="str">
        <f>IF(SQRT((ABS(AI50-K50))^2)/AI50&gt;0.02,"F","R")</f>
        <v>F</v>
      </c>
      <c r="K50" s="141"/>
      <c r="L50" s="80"/>
      <c r="AA50" s="437" t="s">
        <v>7</v>
      </c>
      <c r="AB50" s="446">
        <v>44.094000000000001</v>
      </c>
      <c r="AC50" s="446"/>
      <c r="AD50" s="446">
        <v>32</v>
      </c>
      <c r="AE50" s="446"/>
      <c r="AF50" s="437"/>
      <c r="AG50" s="446">
        <v>44.01</v>
      </c>
      <c r="AH50" s="446"/>
      <c r="AI50" s="446">
        <v>18.015999999999998</v>
      </c>
      <c r="AJ50" s="446"/>
    </row>
    <row r="51" spans="2:36" ht="18.75" x14ac:dyDescent="0.3">
      <c r="B51" s="280" t="s">
        <v>47</v>
      </c>
      <c r="C51" s="263" t="str">
        <f>IF(SQRT((ABS(AB51-D51))^2)/AB51&gt;0.02,"F","R")</f>
        <v>F</v>
      </c>
      <c r="D51" s="413"/>
      <c r="E51" s="265" t="str">
        <f>IF(SQRT((ABS(AD51-F51))^2)/AD51&gt;0.02,"F","R")</f>
        <v>F</v>
      </c>
      <c r="F51" s="413"/>
      <c r="G51" s="493"/>
      <c r="H51" s="265" t="str">
        <f>IF(SQRT((ABS(AG51-I51))^2)/AG51&gt;0.02,"F","R")</f>
        <v>F</v>
      </c>
      <c r="I51" s="413"/>
      <c r="J51" s="265" t="str">
        <f>IF(SQRT((ABS(AI51-K51))^2)/AI51&gt;0.02,"F","R")</f>
        <v>F</v>
      </c>
      <c r="K51" s="413"/>
      <c r="L51" s="80"/>
      <c r="AA51" s="437" t="s">
        <v>8</v>
      </c>
      <c r="AB51" s="446">
        <v>3.4471810223613191</v>
      </c>
      <c r="AC51" s="446"/>
      <c r="AD51" s="446">
        <v>17.235905111806595</v>
      </c>
      <c r="AE51" s="446"/>
      <c r="AF51" s="437"/>
      <c r="AG51" s="446">
        <v>10.341543067083958</v>
      </c>
      <c r="AH51" s="446"/>
      <c r="AI51" s="446">
        <v>13.788724089445276</v>
      </c>
      <c r="AJ51" s="446"/>
    </row>
    <row r="52" spans="2:36" ht="18.75" x14ac:dyDescent="0.3">
      <c r="B52" s="280" t="s">
        <v>90</v>
      </c>
      <c r="C52" s="263" t="str">
        <f>IF(OR(AND(C48=AB52,OR(D52="",D52=AB52)),D52=AB52),"R","F")</f>
        <v>F</v>
      </c>
      <c r="D52" s="13"/>
      <c r="E52" s="265" t="str">
        <f>IF(OR(AND(E48=AD52,OR(F52="",F52=AD52)),F52=AD52),"R","F")</f>
        <v>F</v>
      </c>
      <c r="F52" s="12"/>
      <c r="G52" s="494"/>
      <c r="H52" s="265" t="str">
        <f>IF(OR(AND(H48=AG52,OR(I52="",I52=AG52)),I52=AG52),"R","F")</f>
        <v>F</v>
      </c>
      <c r="I52" s="12"/>
      <c r="J52" s="265" t="str">
        <f>IF(OR(AND(J48=AI52,OR(K52="",K52=AI52)),K52=AI52),"R","F")</f>
        <v>F</v>
      </c>
      <c r="K52" s="12"/>
      <c r="L52" s="80"/>
      <c r="AA52" s="437" t="s">
        <v>9</v>
      </c>
      <c r="AB52" s="446">
        <v>1</v>
      </c>
      <c r="AC52" s="446"/>
      <c r="AD52" s="446">
        <v>5</v>
      </c>
      <c r="AE52" s="446"/>
      <c r="AF52" s="437"/>
      <c r="AG52" s="446">
        <v>3</v>
      </c>
      <c r="AH52" s="446"/>
      <c r="AI52" s="446">
        <v>4</v>
      </c>
      <c r="AJ52" s="446"/>
    </row>
    <row r="53" spans="2:36" x14ac:dyDescent="0.25">
      <c r="B53" s="78"/>
      <c r="C53" s="79"/>
      <c r="D53" s="79"/>
      <c r="E53" s="79"/>
      <c r="F53" s="79"/>
      <c r="G53" s="79"/>
      <c r="H53" s="79"/>
      <c r="I53" s="79"/>
      <c r="J53" s="79"/>
      <c r="K53" s="79"/>
      <c r="L53" s="80"/>
      <c r="AA53" s="437"/>
      <c r="AB53" s="437"/>
      <c r="AC53" s="437"/>
      <c r="AD53" s="437"/>
      <c r="AE53" s="437"/>
      <c r="AF53" s="437"/>
      <c r="AG53" s="437"/>
      <c r="AH53" s="437"/>
      <c r="AI53" s="437"/>
      <c r="AJ53" s="437"/>
    </row>
    <row r="54" spans="2:36" ht="18.75" x14ac:dyDescent="0.3">
      <c r="B54" s="263"/>
      <c r="C54" s="263"/>
      <c r="D54" s="280" t="str">
        <f>AC54</f>
        <v>C₇H₁₄</v>
      </c>
      <c r="E54" s="280"/>
      <c r="F54" s="280" t="s">
        <v>49</v>
      </c>
      <c r="G54" s="280" t="str">
        <f>AF54</f>
        <v>⟶</v>
      </c>
      <c r="H54" s="280"/>
      <c r="I54" s="280" t="s">
        <v>31</v>
      </c>
      <c r="J54" s="280"/>
      <c r="K54" s="280" t="s">
        <v>50</v>
      </c>
      <c r="L54" s="80"/>
      <c r="AA54" s="437"/>
      <c r="AB54" s="437">
        <v>2</v>
      </c>
      <c r="AC54" s="445" t="s">
        <v>38</v>
      </c>
      <c r="AD54" s="445">
        <v>21</v>
      </c>
      <c r="AE54" s="445" t="s">
        <v>3</v>
      </c>
      <c r="AF54" s="445" t="s">
        <v>48</v>
      </c>
      <c r="AG54" s="445">
        <v>14</v>
      </c>
      <c r="AH54" s="445" t="s">
        <v>4</v>
      </c>
      <c r="AI54" s="445">
        <v>14</v>
      </c>
      <c r="AJ54" s="445" t="s">
        <v>5</v>
      </c>
    </row>
    <row r="55" spans="2:36" ht="18.75" x14ac:dyDescent="0.3">
      <c r="B55" s="280" t="s">
        <v>46</v>
      </c>
      <c r="C55" s="263"/>
      <c r="D55" s="337">
        <f>AB55</f>
        <v>179</v>
      </c>
      <c r="E55" s="265" t="str">
        <f>IF(SQRT((ABS(AD55-F55))^2)/AD55&gt;0.02,"F","R")</f>
        <v>F</v>
      </c>
      <c r="F55" s="99"/>
      <c r="G55" s="492"/>
      <c r="H55" s="265" t="str">
        <f>IF(SQRT((ABS(AG55-I55))^2)/AG55&gt;0.02,"F","R")</f>
        <v>F</v>
      </c>
      <c r="I55" s="99"/>
      <c r="J55" s="265" t="str">
        <f>IF(SQRT((ABS(AI55-K55))^2)/AI55&gt;0.02,"F","R")</f>
        <v>F</v>
      </c>
      <c r="K55" s="99"/>
      <c r="L55" s="80"/>
      <c r="AA55" s="437" t="s">
        <v>6</v>
      </c>
      <c r="AB55" s="446">
        <v>179</v>
      </c>
      <c r="AC55" s="446"/>
      <c r="AD55" s="446">
        <v>612.57664337658639</v>
      </c>
      <c r="AE55" s="446"/>
      <c r="AF55" s="437"/>
      <c r="AG55" s="446">
        <v>561.65620989590764</v>
      </c>
      <c r="AH55" s="446"/>
      <c r="AI55" s="446">
        <v>229.92043348067875</v>
      </c>
      <c r="AJ55" s="446"/>
    </row>
    <row r="56" spans="2:36" ht="18.75" x14ac:dyDescent="0.3">
      <c r="B56" s="280" t="s">
        <v>45</v>
      </c>
      <c r="C56" s="263" t="str">
        <f>IF(SQRT((ABS(AB56-D56))^2)/AB56&gt;0.02,"F","R")</f>
        <v>F</v>
      </c>
      <c r="D56" s="141"/>
      <c r="E56" s="265" t="str">
        <f>IF(SQRT((ABS(AD56-F56))^2)/AD56&gt;0.02,"F","R")</f>
        <v>F</v>
      </c>
      <c r="F56" s="141"/>
      <c r="G56" s="493"/>
      <c r="H56" s="265" t="str">
        <f>IF(SQRT((ABS(AG56-I56))^2)/AG56&gt;0.02,"F","R")</f>
        <v>F</v>
      </c>
      <c r="I56" s="141"/>
      <c r="J56" s="265" t="str">
        <f>IF(SQRT((ABS(AI56-K56))^2)/AI56&gt;0.02,"F","R")</f>
        <v>F</v>
      </c>
      <c r="K56" s="141"/>
      <c r="L56" s="80"/>
      <c r="AA56" s="437" t="s">
        <v>7</v>
      </c>
      <c r="AB56" s="446">
        <v>98.181999999999988</v>
      </c>
      <c r="AC56" s="446"/>
      <c r="AD56" s="446">
        <v>32</v>
      </c>
      <c r="AE56" s="446"/>
      <c r="AF56" s="437"/>
      <c r="AG56" s="446">
        <v>44.01</v>
      </c>
      <c r="AH56" s="446"/>
      <c r="AI56" s="446">
        <v>18.015999999999998</v>
      </c>
      <c r="AJ56" s="446"/>
    </row>
    <row r="57" spans="2:36" ht="18.75" x14ac:dyDescent="0.3">
      <c r="B57" s="280" t="s">
        <v>47</v>
      </c>
      <c r="C57" s="263" t="str">
        <f>IF(SQRT((ABS(AB57-D57))^2)/AB57&gt;0.02,"F","R")</f>
        <v>F</v>
      </c>
      <c r="D57" s="413"/>
      <c r="E57" s="265" t="str">
        <f>IF(SQRT((ABS(AD57-F57))^2)/AD57&gt;0.02,"F","R")</f>
        <v>F</v>
      </c>
      <c r="F57" s="413"/>
      <c r="G57" s="493"/>
      <c r="H57" s="265" t="str">
        <f>IF(SQRT((ABS(AG57-I57))^2)/AG57&gt;0.02,"F","R")</f>
        <v>F</v>
      </c>
      <c r="I57" s="413"/>
      <c r="J57" s="265" t="str">
        <f>IF(SQRT((ABS(AI57-K57))^2)/AI57&gt;0.02,"F","R")</f>
        <v>F</v>
      </c>
      <c r="K57" s="413"/>
      <c r="L57" s="80"/>
      <c r="AA57" s="437" t="s">
        <v>8</v>
      </c>
      <c r="AB57" s="446">
        <v>1.8231447719541263</v>
      </c>
      <c r="AC57" s="446"/>
      <c r="AD57" s="446">
        <v>19.143020105518325</v>
      </c>
      <c r="AE57" s="446"/>
      <c r="AF57" s="437"/>
      <c r="AG57" s="446">
        <v>12.762013403678884</v>
      </c>
      <c r="AH57" s="446"/>
      <c r="AI57" s="446">
        <v>12.762013403678884</v>
      </c>
      <c r="AJ57" s="446"/>
    </row>
    <row r="58" spans="2:36" ht="18.75" x14ac:dyDescent="0.3">
      <c r="B58" s="280" t="s">
        <v>90</v>
      </c>
      <c r="C58" s="263" t="str">
        <f>IF(OR(AND(C54=AB58,OR(D58="",D58=AB58)),D58=AB58),"R","F")</f>
        <v>F</v>
      </c>
      <c r="D58" s="13"/>
      <c r="E58" s="265" t="str">
        <f>IF(OR(AND(E54=AD58,OR(F58="",F58=AD58)),F58=AD58),"R","F")</f>
        <v>F</v>
      </c>
      <c r="F58" s="12"/>
      <c r="G58" s="494"/>
      <c r="H58" s="265" t="str">
        <f>IF(OR(AND(H54=AG58,OR(I58="",I58=AG58)),I58=AG58),"R","F")</f>
        <v>F</v>
      </c>
      <c r="I58" s="12"/>
      <c r="J58" s="265" t="str">
        <f>IF(OR(AND(J54=AI58,OR(K58="",K58=AI58)),K58=AI58),"R","F")</f>
        <v>F</v>
      </c>
      <c r="K58" s="12"/>
      <c r="L58" s="80"/>
      <c r="AA58" s="437" t="s">
        <v>9</v>
      </c>
      <c r="AB58" s="446">
        <v>2</v>
      </c>
      <c r="AC58" s="446"/>
      <c r="AD58" s="446">
        <v>21</v>
      </c>
      <c r="AE58" s="446"/>
      <c r="AF58" s="437"/>
      <c r="AG58" s="446">
        <v>14</v>
      </c>
      <c r="AH58" s="446"/>
      <c r="AI58" s="446">
        <v>14</v>
      </c>
      <c r="AJ58" s="446"/>
    </row>
    <row r="59" spans="2:36" x14ac:dyDescent="0.25">
      <c r="B59" s="78"/>
      <c r="C59" s="79"/>
      <c r="D59" s="79"/>
      <c r="E59" s="79"/>
      <c r="F59" s="79"/>
      <c r="G59" s="79"/>
      <c r="H59" s="79"/>
      <c r="I59" s="79"/>
      <c r="J59" s="79"/>
      <c r="K59" s="79"/>
      <c r="L59" s="80"/>
      <c r="AA59" s="437"/>
      <c r="AB59" s="437"/>
      <c r="AC59" s="437"/>
      <c r="AD59" s="437"/>
      <c r="AE59" s="437"/>
      <c r="AF59" s="437"/>
      <c r="AG59" s="437"/>
      <c r="AH59" s="437"/>
      <c r="AI59" s="437"/>
      <c r="AJ59" s="437"/>
    </row>
    <row r="60" spans="2:36" ht="18.75" x14ac:dyDescent="0.3">
      <c r="B60" s="263"/>
      <c r="C60" s="263"/>
      <c r="D60" s="280" t="str">
        <f>AC60</f>
        <v>C₁₃H₂₈</v>
      </c>
      <c r="E60" s="280"/>
      <c r="F60" s="280" t="s">
        <v>49</v>
      </c>
      <c r="G60" s="280" t="str">
        <f>AF60</f>
        <v>⟶</v>
      </c>
      <c r="H60" s="280"/>
      <c r="I60" s="280" t="s">
        <v>31</v>
      </c>
      <c r="J60" s="280"/>
      <c r="K60" s="280" t="s">
        <v>50</v>
      </c>
      <c r="L60" s="80"/>
      <c r="AA60" s="437"/>
      <c r="AB60" s="437">
        <v>1</v>
      </c>
      <c r="AC60" s="445" t="s">
        <v>39</v>
      </c>
      <c r="AD60" s="445">
        <v>20</v>
      </c>
      <c r="AE60" s="445" t="s">
        <v>3</v>
      </c>
      <c r="AF60" s="445" t="s">
        <v>48</v>
      </c>
      <c r="AG60" s="445">
        <v>13</v>
      </c>
      <c r="AH60" s="445" t="s">
        <v>4</v>
      </c>
      <c r="AI60" s="445">
        <v>14</v>
      </c>
      <c r="AJ60" s="445" t="s">
        <v>5</v>
      </c>
    </row>
    <row r="61" spans="2:36" ht="18.75" x14ac:dyDescent="0.3">
      <c r="B61" s="280" t="s">
        <v>46</v>
      </c>
      <c r="C61" s="263"/>
      <c r="D61" s="337">
        <f>AB61</f>
        <v>104</v>
      </c>
      <c r="E61" s="265" t="str">
        <f>IF(SQRT((ABS(AD61-F61))^2)/AD61&gt;0.02,"F","R")</f>
        <v>F</v>
      </c>
      <c r="F61" s="99"/>
      <c r="G61" s="492"/>
      <c r="H61" s="265" t="str">
        <f>IF(SQRT((ABS(AG61-I61))^2)/AG61&gt;0.02,"F","R")</f>
        <v>F</v>
      </c>
      <c r="I61" s="99"/>
      <c r="J61" s="265" t="str">
        <f>IF(SQRT((ABS(AI61-K61))^2)/AI61&gt;0.02,"F","R")</f>
        <v>F</v>
      </c>
      <c r="K61" s="99"/>
      <c r="L61" s="80"/>
      <c r="AA61" s="437" t="s">
        <v>6</v>
      </c>
      <c r="AB61" s="446">
        <v>104</v>
      </c>
      <c r="AC61" s="446"/>
      <c r="AD61" s="446">
        <v>361.04451218850693</v>
      </c>
      <c r="AE61" s="446"/>
      <c r="AF61" s="437"/>
      <c r="AG61" s="446">
        <v>322.75686993501631</v>
      </c>
      <c r="AH61" s="446"/>
      <c r="AI61" s="446">
        <v>142.28764225349056</v>
      </c>
      <c r="AJ61" s="446"/>
    </row>
    <row r="62" spans="2:36" ht="18.75" x14ac:dyDescent="0.3">
      <c r="B62" s="280" t="s">
        <v>45</v>
      </c>
      <c r="C62" s="263" t="str">
        <f>IF(SQRT((ABS(AB62-D62))^2)/AB62&gt;0.02,"F","R")</f>
        <v>F</v>
      </c>
      <c r="D62" s="141"/>
      <c r="E62" s="265" t="str">
        <f>IF(SQRT((ABS(AD62-F62))^2)/AD62&gt;0.02,"F","R")</f>
        <v>F</v>
      </c>
      <c r="F62" s="141"/>
      <c r="G62" s="493"/>
      <c r="H62" s="265" t="str">
        <f>IF(SQRT((ABS(AG62-I62))^2)/AG62&gt;0.02,"F","R")</f>
        <v>F</v>
      </c>
      <c r="I62" s="141"/>
      <c r="J62" s="265" t="str">
        <f>IF(SQRT((ABS(AI62-K62))^2)/AI62&gt;0.02,"F","R")</f>
        <v>F</v>
      </c>
      <c r="K62" s="141"/>
      <c r="L62" s="80"/>
      <c r="AA62" s="437" t="s">
        <v>7</v>
      </c>
      <c r="AB62" s="446">
        <v>184.35399999999998</v>
      </c>
      <c r="AC62" s="446"/>
      <c r="AD62" s="446">
        <v>32</v>
      </c>
      <c r="AE62" s="446"/>
      <c r="AF62" s="437"/>
      <c r="AG62" s="446">
        <v>44.01</v>
      </c>
      <c r="AH62" s="446"/>
      <c r="AI62" s="446">
        <v>18.015999999999998</v>
      </c>
      <c r="AJ62" s="446"/>
    </row>
    <row r="63" spans="2:36" ht="18.75" x14ac:dyDescent="0.3">
      <c r="B63" s="280" t="s">
        <v>47</v>
      </c>
      <c r="C63" s="263" t="str">
        <f>IF(SQRT((ABS(AB63-D63))^2)/AB63&gt;0.02,"F","R")</f>
        <v>F</v>
      </c>
      <c r="D63" s="413"/>
      <c r="E63" s="265" t="str">
        <f>IF(SQRT((ABS(AD63-F63))^2)/AD63&gt;0.02,"F","R")</f>
        <v>F</v>
      </c>
      <c r="F63" s="413"/>
      <c r="G63" s="493"/>
      <c r="H63" s="265" t="str">
        <f>IF(SQRT((ABS(AG63-I63))^2)/AG63&gt;0.02,"F","R")</f>
        <v>F</v>
      </c>
      <c r="I63" s="413"/>
      <c r="J63" s="265" t="str">
        <f>IF(SQRT((ABS(AI63-K63))^2)/AI63&gt;0.02,"F","R")</f>
        <v>F</v>
      </c>
      <c r="K63" s="413"/>
      <c r="L63" s="80"/>
      <c r="AA63" s="437" t="s">
        <v>8</v>
      </c>
      <c r="AB63" s="446">
        <v>0.56413205029454205</v>
      </c>
      <c r="AC63" s="446"/>
      <c r="AD63" s="446">
        <v>11.282641005890842</v>
      </c>
      <c r="AE63" s="446"/>
      <c r="AF63" s="437"/>
      <c r="AG63" s="446">
        <v>7.3337166538290468</v>
      </c>
      <c r="AH63" s="446"/>
      <c r="AI63" s="446">
        <v>7.8978487041235885</v>
      </c>
      <c r="AJ63" s="446"/>
    </row>
    <row r="64" spans="2:36" ht="18.75" x14ac:dyDescent="0.3">
      <c r="B64" s="280" t="s">
        <v>90</v>
      </c>
      <c r="C64" s="263" t="str">
        <f>IF(OR(AND(C60=AB64,OR(D64="",D64=AB64)),D64=AB64),"R","F")</f>
        <v>F</v>
      </c>
      <c r="D64" s="13"/>
      <c r="E64" s="265" t="str">
        <f>IF(OR(AND(E60=AD64,OR(F64="",F64=AD64)),F64=AD64),"R","F")</f>
        <v>F</v>
      </c>
      <c r="F64" s="12"/>
      <c r="G64" s="494"/>
      <c r="H64" s="265" t="str">
        <f>IF(OR(AND(H60=AG64,OR(I64="",I64=AG64)),I64=AG64),"R","F")</f>
        <v>F</v>
      </c>
      <c r="I64" s="12"/>
      <c r="J64" s="265" t="str">
        <f>IF(OR(AND(J60=AI64,OR(K64="",K64=AI64)),K64=AI64),"R","F")</f>
        <v>F</v>
      </c>
      <c r="K64" s="12"/>
      <c r="L64" s="80"/>
      <c r="AA64" s="437" t="s">
        <v>9</v>
      </c>
      <c r="AB64" s="446">
        <v>1</v>
      </c>
      <c r="AC64" s="446"/>
      <c r="AD64" s="446">
        <v>20</v>
      </c>
      <c r="AE64" s="446"/>
      <c r="AF64" s="437"/>
      <c r="AG64" s="446">
        <v>13</v>
      </c>
      <c r="AH64" s="446"/>
      <c r="AI64" s="446">
        <v>14</v>
      </c>
      <c r="AJ64" s="446"/>
    </row>
    <row r="65" spans="2:36" x14ac:dyDescent="0.25">
      <c r="M65" s="106"/>
      <c r="AA65" s="437"/>
      <c r="AB65" s="437"/>
      <c r="AC65" s="437"/>
      <c r="AD65" s="437"/>
      <c r="AE65" s="437"/>
      <c r="AF65" s="437"/>
      <c r="AG65" s="437"/>
      <c r="AH65" s="437"/>
      <c r="AI65" s="437"/>
      <c r="AJ65" s="437"/>
    </row>
    <row r="66" spans="2:36" ht="18.75" x14ac:dyDescent="0.3">
      <c r="B66" s="263"/>
      <c r="C66" s="263"/>
      <c r="D66" s="280" t="str">
        <f>AC66</f>
        <v>C₈H₁₈</v>
      </c>
      <c r="E66" s="280"/>
      <c r="F66" s="280" t="s">
        <v>49</v>
      </c>
      <c r="G66" s="280" t="str">
        <f>AF66</f>
        <v>⟶</v>
      </c>
      <c r="H66" s="280"/>
      <c r="I66" s="280" t="s">
        <v>31</v>
      </c>
      <c r="J66" s="280"/>
      <c r="K66" s="280" t="s">
        <v>50</v>
      </c>
      <c r="L66" s="80"/>
      <c r="AA66" s="437"/>
      <c r="AB66" s="437">
        <v>2</v>
      </c>
      <c r="AC66" s="445" t="s">
        <v>40</v>
      </c>
      <c r="AD66" s="445">
        <v>25</v>
      </c>
      <c r="AE66" s="445" t="s">
        <v>3</v>
      </c>
      <c r="AF66" s="445" t="s">
        <v>48</v>
      </c>
      <c r="AG66" s="445">
        <v>16</v>
      </c>
      <c r="AH66" s="445" t="s">
        <v>4</v>
      </c>
      <c r="AI66" s="445">
        <v>18</v>
      </c>
      <c r="AJ66" s="445" t="s">
        <v>5</v>
      </c>
    </row>
    <row r="67" spans="2:36" ht="18.75" x14ac:dyDescent="0.3">
      <c r="B67" s="280" t="s">
        <v>46</v>
      </c>
      <c r="C67" s="263"/>
      <c r="D67" s="337">
        <f>AB67</f>
        <v>14</v>
      </c>
      <c r="E67" s="265" t="str">
        <f>IF(SQRT((ABS(AD67-F67))^2)/AD67&gt;0.02,"F","R")</f>
        <v>F</v>
      </c>
      <c r="F67" s="99"/>
      <c r="G67" s="492"/>
      <c r="H67" s="265" t="str">
        <f>IF(SQRT((ABS(AG67-I67))^2)/AG67&gt;0.02,"F","R")</f>
        <v>F</v>
      </c>
      <c r="I67" s="99"/>
      <c r="J67" s="265" t="str">
        <f>IF(SQRT((ABS(AI67-K67))^2)/AI67&gt;0.02,"F","R")</f>
        <v>F</v>
      </c>
      <c r="K67" s="99"/>
      <c r="L67" s="80"/>
      <c r="AA67" s="437" t="s">
        <v>6</v>
      </c>
      <c r="AB67" s="446">
        <v>14</v>
      </c>
      <c r="AC67" s="446"/>
      <c r="AD67" s="446">
        <v>49.026474296119908</v>
      </c>
      <c r="AE67" s="446"/>
      <c r="AF67" s="437"/>
      <c r="AG67" s="446">
        <v>43.153102675444742</v>
      </c>
      <c r="AH67" s="446"/>
      <c r="AI67" s="446">
        <v>19.873371620675165</v>
      </c>
      <c r="AJ67" s="446"/>
    </row>
    <row r="68" spans="2:36" ht="18.75" x14ac:dyDescent="0.3">
      <c r="B68" s="280" t="s">
        <v>45</v>
      </c>
      <c r="C68" s="263" t="str">
        <f>IF(SQRT((ABS(AB68-D68))^2)/AB68&gt;0.02,"F","R")</f>
        <v>F</v>
      </c>
      <c r="D68" s="141"/>
      <c r="E68" s="265" t="str">
        <f>IF(SQRT((ABS(AD68-F68))^2)/AD68&gt;0.02,"F","R")</f>
        <v>F</v>
      </c>
      <c r="F68" s="141"/>
      <c r="G68" s="493"/>
      <c r="H68" s="265" t="str">
        <f>IF(SQRT((ABS(AG68-I68))^2)/AG68&gt;0.02,"F","R")</f>
        <v>F</v>
      </c>
      <c r="I68" s="141"/>
      <c r="J68" s="265" t="str">
        <f>IF(SQRT((ABS(AI68-K68))^2)/AI68&gt;0.02,"F","R")</f>
        <v>F</v>
      </c>
      <c r="K68" s="141"/>
      <c r="L68" s="80"/>
      <c r="AA68" s="437" t="s">
        <v>7</v>
      </c>
      <c r="AB68" s="446">
        <v>114.22399999999999</v>
      </c>
      <c r="AC68" s="446"/>
      <c r="AD68" s="446">
        <v>32</v>
      </c>
      <c r="AE68" s="446"/>
      <c r="AF68" s="437"/>
      <c r="AG68" s="446">
        <v>44.01</v>
      </c>
      <c r="AH68" s="446"/>
      <c r="AI68" s="446">
        <v>18.015999999999998</v>
      </c>
      <c r="AJ68" s="446"/>
    </row>
    <row r="69" spans="2:36" ht="18.75" x14ac:dyDescent="0.3">
      <c r="B69" s="280" t="s">
        <v>47</v>
      </c>
      <c r="C69" s="263" t="str">
        <f>IF(SQRT((ABS(AB69-D69))^2)/AB69&gt;0.02,"F","R")</f>
        <v>F</v>
      </c>
      <c r="D69" s="413"/>
      <c r="E69" s="265" t="str">
        <f>IF(SQRT((ABS(AD69-F69))^2)/AD69&gt;0.02,"F","R")</f>
        <v>F</v>
      </c>
      <c r="F69" s="413"/>
      <c r="G69" s="493"/>
      <c r="H69" s="265" t="str">
        <f>IF(SQRT((ABS(AG69-I69))^2)/AG69&gt;0.02,"F","R")</f>
        <v>F</v>
      </c>
      <c r="I69" s="413"/>
      <c r="J69" s="265" t="str">
        <f>IF(SQRT((ABS(AI69-K69))^2)/AI69&gt;0.02,"F","R")</f>
        <v>F</v>
      </c>
      <c r="K69" s="413"/>
      <c r="L69" s="80"/>
      <c r="AA69" s="437" t="s">
        <v>8</v>
      </c>
      <c r="AB69" s="446">
        <v>0.12256618574029977</v>
      </c>
      <c r="AC69" s="446"/>
      <c r="AD69" s="446">
        <v>1.5320773217537471</v>
      </c>
      <c r="AE69" s="446"/>
      <c r="AF69" s="437"/>
      <c r="AG69" s="446">
        <v>0.98052948592239819</v>
      </c>
      <c r="AH69" s="446"/>
      <c r="AI69" s="446">
        <v>1.1030956716626981</v>
      </c>
      <c r="AJ69" s="446"/>
    </row>
    <row r="70" spans="2:36" ht="18.75" x14ac:dyDescent="0.3">
      <c r="B70" s="280" t="s">
        <v>9</v>
      </c>
      <c r="C70" s="263" t="str">
        <f>IF(OR(AND(C66=AB70,OR(D70="",D70=AB70)),D70=AB70),"R","F")</f>
        <v>F</v>
      </c>
      <c r="D70" s="13"/>
      <c r="E70" s="265" t="str">
        <f>IF(OR(AND(E66=AD70,OR(F70="",F70=AD70)),F70=AD70),"R","F")</f>
        <v>F</v>
      </c>
      <c r="F70" s="12"/>
      <c r="G70" s="494"/>
      <c r="H70" s="265" t="str">
        <f>IF(OR(AND(H66=AG70,OR(I70="",I70=AG70)),I70=AG70),"R","F")</f>
        <v>F</v>
      </c>
      <c r="I70" s="12"/>
      <c r="J70" s="265" t="str">
        <f>IF(OR(AND(J66=AI70,OR(K70="",K70=AI70)),K70=AI70),"R","F")</f>
        <v>F</v>
      </c>
      <c r="K70" s="12"/>
      <c r="L70" s="80"/>
      <c r="AA70" s="437" t="s">
        <v>9</v>
      </c>
      <c r="AB70" s="446">
        <v>2</v>
      </c>
      <c r="AC70" s="446"/>
      <c r="AD70" s="446">
        <v>25</v>
      </c>
      <c r="AE70" s="446"/>
      <c r="AF70" s="437"/>
      <c r="AG70" s="446">
        <v>16</v>
      </c>
      <c r="AH70" s="446"/>
      <c r="AI70" s="446">
        <v>18</v>
      </c>
      <c r="AJ70" s="446"/>
    </row>
    <row r="71" spans="2:36" x14ac:dyDescent="0.25">
      <c r="B71" s="78"/>
      <c r="C71" s="79"/>
      <c r="D71" s="79"/>
      <c r="E71" s="79"/>
      <c r="F71" s="79"/>
      <c r="G71" s="79"/>
      <c r="H71" s="79"/>
      <c r="I71" s="79"/>
      <c r="J71" s="79"/>
      <c r="K71" s="79"/>
      <c r="L71" s="80"/>
      <c r="AA71" s="437"/>
      <c r="AB71" s="437"/>
      <c r="AC71" s="437"/>
      <c r="AD71" s="437"/>
      <c r="AE71" s="437"/>
      <c r="AF71" s="437"/>
      <c r="AG71" s="437"/>
      <c r="AH71" s="437"/>
      <c r="AI71" s="437"/>
      <c r="AJ71" s="437"/>
    </row>
    <row r="72" spans="2:36" ht="18.75" x14ac:dyDescent="0.3">
      <c r="B72" s="263"/>
      <c r="C72" s="263"/>
      <c r="D72" s="280" t="str">
        <f>AC72</f>
        <v>C₃H₆O</v>
      </c>
      <c r="E72" s="280"/>
      <c r="F72" s="280" t="s">
        <v>49</v>
      </c>
      <c r="G72" s="280" t="str">
        <f>AF72</f>
        <v>⟶</v>
      </c>
      <c r="H72" s="280"/>
      <c r="I72" s="280" t="s">
        <v>31</v>
      </c>
      <c r="J72" s="280"/>
      <c r="K72" s="280" t="s">
        <v>50</v>
      </c>
      <c r="L72" s="80"/>
      <c r="AA72" s="437"/>
      <c r="AB72" s="437">
        <v>1</v>
      </c>
      <c r="AC72" s="445" t="s">
        <v>41</v>
      </c>
      <c r="AD72" s="445">
        <v>4</v>
      </c>
      <c r="AE72" s="445" t="s">
        <v>3</v>
      </c>
      <c r="AF72" s="445" t="s">
        <v>48</v>
      </c>
      <c r="AG72" s="445">
        <v>3</v>
      </c>
      <c r="AH72" s="445" t="s">
        <v>4</v>
      </c>
      <c r="AI72" s="445">
        <v>3</v>
      </c>
      <c r="AJ72" s="445" t="s">
        <v>5</v>
      </c>
    </row>
    <row r="73" spans="2:36" ht="18.75" x14ac:dyDescent="0.3">
      <c r="B73" s="280" t="s">
        <v>46</v>
      </c>
      <c r="C73" s="263"/>
      <c r="D73" s="337">
        <f>AB73</f>
        <v>227</v>
      </c>
      <c r="E73" s="265" t="str">
        <f>IF(SQRT((ABS(AD73-F73))^2)/AD73&gt;0.02,"F","R")</f>
        <v>F</v>
      </c>
      <c r="F73" s="99"/>
      <c r="G73" s="492"/>
      <c r="H73" s="265" t="str">
        <f>IF(SQRT((ABS(AG73-I73))^2)/AG73&gt;0.02,"F","R")</f>
        <v>F</v>
      </c>
      <c r="I73" s="99"/>
      <c r="J73" s="265" t="str">
        <f>IF(SQRT((ABS(AI73-K73))^2)/AI73&gt;0.02,"F","R")</f>
        <v>F</v>
      </c>
      <c r="K73" s="99"/>
      <c r="L73" s="80"/>
      <c r="AA73" s="437" t="s">
        <v>6</v>
      </c>
      <c r="AB73" s="446">
        <v>227</v>
      </c>
      <c r="AC73" s="446"/>
      <c r="AD73" s="446">
        <v>500.29270980405659</v>
      </c>
      <c r="AE73" s="446"/>
      <c r="AF73" s="437"/>
      <c r="AG73" s="446">
        <v>516.04411308929366</v>
      </c>
      <c r="AH73" s="446"/>
      <c r="AI73" s="446">
        <v>211.24859671476287</v>
      </c>
      <c r="AJ73" s="446"/>
    </row>
    <row r="74" spans="2:36" ht="18.75" x14ac:dyDescent="0.3">
      <c r="B74" s="280" t="s">
        <v>45</v>
      </c>
      <c r="C74" s="263" t="str">
        <f>IF(SQRT((ABS(AB74-D74))^2)/AB74&gt;0.02,"F","R")</f>
        <v>F</v>
      </c>
      <c r="D74" s="141"/>
      <c r="E74" s="265" t="str">
        <f>IF(SQRT((ABS(AD74-F74))^2)/AD74&gt;0.02,"F","R")</f>
        <v>F</v>
      </c>
      <c r="F74" s="141"/>
      <c r="G74" s="493"/>
      <c r="H74" s="265" t="str">
        <f>IF(SQRT((ABS(AG74-I74))^2)/AG74&gt;0.02,"F","R")</f>
        <v>F</v>
      </c>
      <c r="I74" s="141"/>
      <c r="J74" s="265" t="str">
        <f>IF(SQRT((ABS(AI74-K74))^2)/AI74&gt;0.02,"F","R")</f>
        <v>F</v>
      </c>
      <c r="K74" s="141"/>
      <c r="L74" s="80"/>
      <c r="AA74" s="437" t="s">
        <v>7</v>
      </c>
      <c r="AB74" s="446">
        <v>58.078000000000003</v>
      </c>
      <c r="AC74" s="446"/>
      <c r="AD74" s="446">
        <v>32</v>
      </c>
      <c r="AE74" s="446"/>
      <c r="AF74" s="437"/>
      <c r="AG74" s="446">
        <v>44.01</v>
      </c>
      <c r="AH74" s="446"/>
      <c r="AI74" s="446">
        <v>18.015999999999998</v>
      </c>
      <c r="AJ74" s="446"/>
    </row>
    <row r="75" spans="2:36" ht="18.75" x14ac:dyDescent="0.3">
      <c r="B75" s="280" t="s">
        <v>47</v>
      </c>
      <c r="C75" s="263" t="str">
        <f>IF(SQRT((ABS(AB75-D75))^2)/AB75&gt;0.02,"F","R")</f>
        <v>F</v>
      </c>
      <c r="D75" s="413"/>
      <c r="E75" s="265" t="str">
        <f>IF(SQRT((ABS(AD75-F75))^2)/AD75&gt;0.02,"F","R")</f>
        <v>F</v>
      </c>
      <c r="F75" s="413"/>
      <c r="G75" s="493"/>
      <c r="H75" s="265" t="str">
        <f>IF(SQRT((ABS(AG75-I75))^2)/AG75&gt;0.02,"F","R")</f>
        <v>F</v>
      </c>
      <c r="I75" s="413"/>
      <c r="J75" s="265" t="str">
        <f>IF(SQRT((ABS(AI75-K75))^2)/AI75&gt;0.02,"F","R")</f>
        <v>F</v>
      </c>
      <c r="K75" s="413"/>
      <c r="L75" s="80"/>
      <c r="AA75" s="437" t="s">
        <v>8</v>
      </c>
      <c r="AB75" s="446">
        <v>3.9085367953441921</v>
      </c>
      <c r="AC75" s="446"/>
      <c r="AD75" s="446">
        <v>15.634147181376768</v>
      </c>
      <c r="AE75" s="446"/>
      <c r="AF75" s="437"/>
      <c r="AG75" s="446">
        <v>11.725610386032576</v>
      </c>
      <c r="AH75" s="446"/>
      <c r="AI75" s="446">
        <v>11.725610386032576</v>
      </c>
      <c r="AJ75" s="446"/>
    </row>
    <row r="76" spans="2:36" ht="18.75" x14ac:dyDescent="0.3">
      <c r="B76" s="280" t="s">
        <v>90</v>
      </c>
      <c r="C76" s="263" t="str">
        <f>IF(OR(AND(C72=AB76,OR(D76="",D76=AB76)),D76=AB76),"R","F")</f>
        <v>F</v>
      </c>
      <c r="D76" s="13"/>
      <c r="E76" s="265" t="str">
        <f>IF(OR(AND(E72=AD76,OR(F76="",F76=AD76)),F76=AD76),"R","F")</f>
        <v>F</v>
      </c>
      <c r="F76" s="12"/>
      <c r="G76" s="494"/>
      <c r="H76" s="265" t="str">
        <f>IF(OR(AND(H72=AG76,OR(I76="",I76=AG76)),I76=AG76),"R","F")</f>
        <v>F</v>
      </c>
      <c r="I76" s="12"/>
      <c r="J76" s="265" t="str">
        <f>IF(OR(AND(J72=AI76,OR(K76="",K76=AI76)),K76=AI76),"R","F")</f>
        <v>F</v>
      </c>
      <c r="K76" s="12"/>
      <c r="L76" s="80"/>
      <c r="AA76" s="437" t="s">
        <v>9</v>
      </c>
      <c r="AB76" s="446">
        <v>1</v>
      </c>
      <c r="AC76" s="446"/>
      <c r="AD76" s="446">
        <v>4</v>
      </c>
      <c r="AE76" s="446"/>
      <c r="AF76" s="437"/>
      <c r="AG76" s="446">
        <v>3</v>
      </c>
      <c r="AH76" s="446"/>
      <c r="AI76" s="446">
        <v>3</v>
      </c>
      <c r="AJ76" s="446"/>
    </row>
    <row r="77" spans="2:36" x14ac:dyDescent="0.25">
      <c r="B77" s="78"/>
      <c r="C77" s="79"/>
      <c r="D77" s="79"/>
      <c r="E77" s="79"/>
      <c r="F77" s="79"/>
      <c r="G77" s="79"/>
      <c r="H77" s="79"/>
      <c r="I77" s="79"/>
      <c r="J77" s="79"/>
      <c r="K77" s="79"/>
      <c r="L77" s="80"/>
      <c r="AA77" s="437"/>
      <c r="AB77" s="437"/>
      <c r="AC77" s="437"/>
      <c r="AD77" s="437"/>
      <c r="AE77" s="437"/>
      <c r="AF77" s="437"/>
      <c r="AG77" s="437"/>
      <c r="AH77" s="437"/>
      <c r="AI77" s="437"/>
      <c r="AJ77" s="437"/>
    </row>
    <row r="78" spans="2:36" ht="18.75" x14ac:dyDescent="0.3">
      <c r="B78" s="263"/>
      <c r="C78" s="263"/>
      <c r="D78" s="280" t="str">
        <f>AC78</f>
        <v>C₃H₇OH</v>
      </c>
      <c r="E78" s="280"/>
      <c r="F78" s="280" t="s">
        <v>49</v>
      </c>
      <c r="G78" s="280" t="str">
        <f>AF78</f>
        <v>⟶</v>
      </c>
      <c r="H78" s="280"/>
      <c r="I78" s="280" t="s">
        <v>31</v>
      </c>
      <c r="J78" s="280"/>
      <c r="K78" s="280" t="s">
        <v>50</v>
      </c>
      <c r="L78" s="80"/>
      <c r="AA78" s="437"/>
      <c r="AB78" s="437">
        <v>2</v>
      </c>
      <c r="AC78" s="445" t="s">
        <v>34</v>
      </c>
      <c r="AD78" s="445">
        <v>9</v>
      </c>
      <c r="AE78" s="445" t="s">
        <v>3</v>
      </c>
      <c r="AF78" s="445" t="s">
        <v>48</v>
      </c>
      <c r="AG78" s="445">
        <v>6</v>
      </c>
      <c r="AH78" s="445" t="s">
        <v>4</v>
      </c>
      <c r="AI78" s="445">
        <v>8</v>
      </c>
      <c r="AJ78" s="445" t="s">
        <v>5</v>
      </c>
    </row>
    <row r="79" spans="2:36" ht="18.75" x14ac:dyDescent="0.3">
      <c r="B79" s="280" t="s">
        <v>46</v>
      </c>
      <c r="C79" s="263"/>
      <c r="D79" s="337">
        <f>AB79</f>
        <v>70</v>
      </c>
      <c r="E79" s="265" t="str">
        <f>IF(SQRT((ABS(AD79-F79))^2)/AD79&gt;0.02,"F","R")</f>
        <v>F</v>
      </c>
      <c r="F79" s="99"/>
      <c r="G79" s="492"/>
      <c r="H79" s="265" t="str">
        <f>IF(SQRT((ABS(AG79-I79))^2)/AG79&gt;0.02,"F","R")</f>
        <v>F</v>
      </c>
      <c r="I79" s="99"/>
      <c r="J79" s="265" t="str">
        <f>IF(SQRT((ABS(AI79-K79))^2)/AI79&gt;0.02,"F","R")</f>
        <v>F</v>
      </c>
      <c r="K79" s="99"/>
      <c r="L79" s="80"/>
      <c r="AA79" s="437" t="s">
        <v>6</v>
      </c>
      <c r="AB79" s="446">
        <v>70</v>
      </c>
      <c r="AC79" s="446"/>
      <c r="AD79" s="446">
        <v>167.73721170166741</v>
      </c>
      <c r="AE79" s="446"/>
      <c r="AF79" s="437"/>
      <c r="AG79" s="446">
        <v>153.7940559789663</v>
      </c>
      <c r="AH79" s="446"/>
      <c r="AI79" s="446">
        <v>83.943155722701093</v>
      </c>
      <c r="AJ79" s="446"/>
    </row>
    <row r="80" spans="2:36" ht="18.75" x14ac:dyDescent="0.3">
      <c r="B80" s="280" t="s">
        <v>45</v>
      </c>
      <c r="C80" s="263" t="str">
        <f>IF(SQRT((ABS(AB80-D80))^2)/AB80&gt;0.02,"F","R")</f>
        <v>F</v>
      </c>
      <c r="D80" s="141"/>
      <c r="E80" s="265" t="str">
        <f>IF(SQRT((ABS(AD80-F80))^2)/AD80&gt;0.02,"F","R")</f>
        <v>F</v>
      </c>
      <c r="F80" s="141"/>
      <c r="G80" s="493"/>
      <c r="H80" s="265" t="str">
        <f>IF(SQRT((ABS(AG80-I80))^2)/AG80&gt;0.02,"F","R")</f>
        <v>F</v>
      </c>
      <c r="I80" s="141"/>
      <c r="J80" s="265" t="str">
        <f>IF(SQRT((ABS(AI80-K80))^2)/AI80&gt;0.02,"F","R")</f>
        <v>F</v>
      </c>
      <c r="K80" s="141"/>
      <c r="L80" s="80"/>
      <c r="AA80" s="437" t="s">
        <v>7</v>
      </c>
      <c r="AB80" s="446">
        <v>60.094000000000001</v>
      </c>
      <c r="AC80" s="446"/>
      <c r="AD80" s="446">
        <v>32</v>
      </c>
      <c r="AE80" s="446"/>
      <c r="AF80" s="437"/>
      <c r="AG80" s="446">
        <v>44.01</v>
      </c>
      <c r="AH80" s="446"/>
      <c r="AI80" s="446">
        <v>18.015999999999998</v>
      </c>
      <c r="AJ80" s="446"/>
    </row>
    <row r="81" spans="2:36" ht="18.75" x14ac:dyDescent="0.3">
      <c r="B81" s="280" t="s">
        <v>47</v>
      </c>
      <c r="C81" s="263" t="str">
        <f>IF(SQRT((ABS(AB81-D81))^2)/AB81&gt;0.02,"F","R")</f>
        <v>F</v>
      </c>
      <c r="D81" s="413"/>
      <c r="E81" s="265" t="str">
        <f>IF(SQRT((ABS(AD81-F81))^2)/AD81&gt;0.02,"F","R")</f>
        <v>F</v>
      </c>
      <c r="F81" s="413"/>
      <c r="G81" s="493"/>
      <c r="H81" s="265" t="str">
        <f>IF(SQRT((ABS(AG81-I81))^2)/AG81&gt;0.02,"F","R")</f>
        <v>F</v>
      </c>
      <c r="I81" s="413"/>
      <c r="J81" s="265" t="str">
        <f>IF(SQRT((ABS(AI81-K81))^2)/AI81&gt;0.02,"F","R")</f>
        <v>F</v>
      </c>
      <c r="K81" s="413"/>
      <c r="L81" s="80"/>
      <c r="AA81" s="437" t="s">
        <v>8</v>
      </c>
      <c r="AB81" s="446">
        <v>1.1648417479282458</v>
      </c>
      <c r="AC81" s="446"/>
      <c r="AD81" s="446">
        <v>5.2417878656771064</v>
      </c>
      <c r="AE81" s="446"/>
      <c r="AF81" s="437"/>
      <c r="AG81" s="446">
        <v>3.4945252437847376</v>
      </c>
      <c r="AH81" s="446"/>
      <c r="AI81" s="446">
        <v>4.6593669917129832</v>
      </c>
      <c r="AJ81" s="446"/>
    </row>
    <row r="82" spans="2:36" ht="18.75" x14ac:dyDescent="0.3">
      <c r="B82" s="280" t="s">
        <v>90</v>
      </c>
      <c r="C82" s="263" t="str">
        <f>IF(OR(AND(C78=AB82,OR(D82="",D82=AB82)),D82=AB82),"R","F")</f>
        <v>F</v>
      </c>
      <c r="D82" s="13"/>
      <c r="E82" s="265" t="str">
        <f>IF(OR(AND(E78=AD82,OR(F82="",F82=AD82)),F82=AD82),"R","F")</f>
        <v>F</v>
      </c>
      <c r="F82" s="12"/>
      <c r="G82" s="494"/>
      <c r="H82" s="265" t="str">
        <f>IF(OR(AND(H78=AG82,OR(I82="",I82=AG82)),I82=AG82),"R","F")</f>
        <v>F</v>
      </c>
      <c r="I82" s="12"/>
      <c r="J82" s="265" t="str">
        <f>IF(OR(AND(J78=AI82,OR(K82="",K82=AI82)),K82=AI82),"R","F")</f>
        <v>F</v>
      </c>
      <c r="K82" s="12"/>
      <c r="L82" s="80"/>
      <c r="AA82" s="437" t="s">
        <v>9</v>
      </c>
      <c r="AB82" s="446">
        <v>2</v>
      </c>
      <c r="AC82" s="446"/>
      <c r="AD82" s="446">
        <v>9</v>
      </c>
      <c r="AE82" s="446"/>
      <c r="AF82" s="437"/>
      <c r="AG82" s="446">
        <v>6</v>
      </c>
      <c r="AH82" s="446"/>
      <c r="AI82" s="446">
        <v>8</v>
      </c>
      <c r="AJ82" s="446"/>
    </row>
    <row r="83" spans="2:36" x14ac:dyDescent="0.25">
      <c r="B83" s="78"/>
      <c r="C83" s="79"/>
      <c r="D83" s="79"/>
      <c r="E83" s="79"/>
      <c r="F83" s="79"/>
      <c r="G83" s="79"/>
      <c r="H83" s="79"/>
      <c r="I83" s="79"/>
      <c r="J83" s="79"/>
      <c r="K83" s="79"/>
      <c r="L83" s="80"/>
      <c r="AA83" s="437"/>
      <c r="AB83" s="437"/>
      <c r="AC83" s="437"/>
      <c r="AD83" s="437"/>
      <c r="AE83" s="437"/>
      <c r="AF83" s="437"/>
      <c r="AG83" s="437"/>
      <c r="AH83" s="437"/>
      <c r="AI83" s="437"/>
      <c r="AJ83" s="437"/>
    </row>
    <row r="84" spans="2:36" ht="18.75" x14ac:dyDescent="0.3">
      <c r="B84" s="263"/>
      <c r="C84" s="263"/>
      <c r="D84" s="280" t="str">
        <f>AC84</f>
        <v>CH₃OH</v>
      </c>
      <c r="E84" s="280"/>
      <c r="F84" s="280" t="s">
        <v>49</v>
      </c>
      <c r="G84" s="280" t="str">
        <f>AF84</f>
        <v>⟶</v>
      </c>
      <c r="H84" s="280"/>
      <c r="I84" s="280" t="s">
        <v>31</v>
      </c>
      <c r="J84" s="280"/>
      <c r="K84" s="280" t="s">
        <v>50</v>
      </c>
      <c r="L84" s="80"/>
      <c r="AA84" s="437"/>
      <c r="AB84" s="437">
        <v>2</v>
      </c>
      <c r="AC84" s="445" t="s">
        <v>36</v>
      </c>
      <c r="AD84" s="445">
        <v>3</v>
      </c>
      <c r="AE84" s="445" t="s">
        <v>3</v>
      </c>
      <c r="AF84" s="445" t="s">
        <v>48</v>
      </c>
      <c r="AG84" s="445">
        <v>2</v>
      </c>
      <c r="AH84" s="445" t="s">
        <v>4</v>
      </c>
      <c r="AI84" s="445">
        <v>4</v>
      </c>
      <c r="AJ84" s="445" t="s">
        <v>5</v>
      </c>
    </row>
    <row r="85" spans="2:36" ht="18.75" x14ac:dyDescent="0.3">
      <c r="B85" s="280" t="s">
        <v>46</v>
      </c>
      <c r="C85" s="263"/>
      <c r="D85" s="337">
        <f>AB85</f>
        <v>116</v>
      </c>
      <c r="E85" s="265" t="str">
        <f>IF(SQRT((ABS(AD85-F85))^2)/AD85&gt;0.02,"F","R")</f>
        <v>F</v>
      </c>
      <c r="F85" s="99"/>
      <c r="G85" s="492"/>
      <c r="H85" s="265" t="str">
        <f>IF(SQRT((ABS(AG85-I85))^2)/AG85&gt;0.02,"F","R")</f>
        <v>F</v>
      </c>
      <c r="I85" s="99"/>
      <c r="J85" s="265" t="str">
        <f>IF(SQRT((ABS(AI85-K85))^2)/AI85&gt;0.02,"F","R")</f>
        <v>F</v>
      </c>
      <c r="K85" s="99"/>
      <c r="L85" s="80"/>
      <c r="AA85" s="437" t="s">
        <v>6</v>
      </c>
      <c r="AB85" s="446">
        <v>116</v>
      </c>
      <c r="AC85" s="446"/>
      <c r="AD85" s="446">
        <v>173.77192434929154</v>
      </c>
      <c r="AE85" s="446"/>
      <c r="AF85" s="437"/>
      <c r="AG85" s="446">
        <v>159.32713313775668</v>
      </c>
      <c r="AH85" s="446"/>
      <c r="AI85" s="446">
        <v>130.44479121153483</v>
      </c>
      <c r="AJ85" s="446"/>
    </row>
    <row r="86" spans="2:36" ht="18.75" x14ac:dyDescent="0.3">
      <c r="B86" s="280" t="s">
        <v>45</v>
      </c>
      <c r="C86" s="263" t="str">
        <f>IF(SQRT((ABS(AB86-D86))^2)/AB86&gt;0.02,"F","R")</f>
        <v>F</v>
      </c>
      <c r="D86" s="141"/>
      <c r="E86" s="265" t="str">
        <f>IF(SQRT((ABS(AD86-F86))^2)/AD86&gt;0.02,"F","R")</f>
        <v>F</v>
      </c>
      <c r="F86" s="141"/>
      <c r="G86" s="493"/>
      <c r="H86" s="265" t="str">
        <f>IF(SQRT((ABS(AG86-I86))^2)/AG86&gt;0.02,"F","R")</f>
        <v>F</v>
      </c>
      <c r="I86" s="141"/>
      <c r="J86" s="265" t="str">
        <f>IF(SQRT((ABS(AI86-K86))^2)/AI86&gt;0.02,"F","R")</f>
        <v>F</v>
      </c>
      <c r="K86" s="141"/>
      <c r="L86" s="80"/>
      <c r="AA86" s="437" t="s">
        <v>7</v>
      </c>
      <c r="AB86" s="446">
        <v>32.042000000000002</v>
      </c>
      <c r="AC86" s="446"/>
      <c r="AD86" s="446">
        <v>32</v>
      </c>
      <c r="AE86" s="446"/>
      <c r="AF86" s="437"/>
      <c r="AG86" s="446">
        <v>44.01</v>
      </c>
      <c r="AH86" s="446"/>
      <c r="AI86" s="446">
        <v>18.015999999999998</v>
      </c>
      <c r="AJ86" s="446"/>
    </row>
    <row r="87" spans="2:36" ht="18.75" x14ac:dyDescent="0.3">
      <c r="B87" s="280" t="s">
        <v>47</v>
      </c>
      <c r="C87" s="263" t="str">
        <f>IF(SQRT((ABS(AB87-D87))^2)/AB87&gt;0.02,"F","R")</f>
        <v>F</v>
      </c>
      <c r="D87" s="413"/>
      <c r="E87" s="265" t="str">
        <f>IF(SQRT((ABS(AD87-F87))^2)/AD87&gt;0.02,"F","R")</f>
        <v>F</v>
      </c>
      <c r="F87" s="413"/>
      <c r="G87" s="493"/>
      <c r="H87" s="265" t="str">
        <f>IF(SQRT((ABS(AG87-I87))^2)/AG87&gt;0.02,"F","R")</f>
        <v>F</v>
      </c>
      <c r="I87" s="413"/>
      <c r="J87" s="265" t="str">
        <f>IF(SQRT((ABS(AI87-K87))^2)/AI87&gt;0.02,"F","R")</f>
        <v>F</v>
      </c>
      <c r="K87" s="413"/>
      <c r="L87" s="80"/>
      <c r="AA87" s="437" t="s">
        <v>8</v>
      </c>
      <c r="AB87" s="446">
        <v>3.6202484239435737</v>
      </c>
      <c r="AC87" s="446"/>
      <c r="AD87" s="446">
        <v>5.4303726359153606</v>
      </c>
      <c r="AE87" s="446"/>
      <c r="AF87" s="437"/>
      <c r="AG87" s="446">
        <v>3.6202484239435737</v>
      </c>
      <c r="AH87" s="446"/>
      <c r="AI87" s="446">
        <v>7.2404968478871474</v>
      </c>
      <c r="AJ87" s="446"/>
    </row>
    <row r="88" spans="2:36" ht="18.75" x14ac:dyDescent="0.3">
      <c r="B88" s="280" t="s">
        <v>90</v>
      </c>
      <c r="C88" s="263" t="str">
        <f>IF(OR(AND(C84=AB88,OR(D88="",D88=AB88)),D88=AB88),"R","F")</f>
        <v>F</v>
      </c>
      <c r="D88" s="13"/>
      <c r="E88" s="265" t="str">
        <f>IF(OR(AND(E84=AD88,OR(F88="",F88=AD88)),F88=AD88),"R","F")</f>
        <v>F</v>
      </c>
      <c r="F88" s="12"/>
      <c r="G88" s="494"/>
      <c r="H88" s="265" t="str">
        <f>IF(OR(AND(H84=AG88,OR(I88="",I88=AG88)),I88=AG88),"R","F")</f>
        <v>F</v>
      </c>
      <c r="I88" s="12"/>
      <c r="J88" s="265" t="str">
        <f>IF(OR(AND(J84=AI88,OR(K88="",K88=AI88)),K88=AI88),"R","F")</f>
        <v>F</v>
      </c>
      <c r="K88" s="12"/>
      <c r="L88" s="80"/>
      <c r="AA88" s="437" t="s">
        <v>9</v>
      </c>
      <c r="AB88" s="446">
        <v>2</v>
      </c>
      <c r="AC88" s="446"/>
      <c r="AD88" s="446">
        <v>3</v>
      </c>
      <c r="AE88" s="446"/>
      <c r="AF88" s="437"/>
      <c r="AG88" s="446">
        <v>2</v>
      </c>
      <c r="AH88" s="446"/>
      <c r="AI88" s="446">
        <v>4</v>
      </c>
      <c r="AJ88" s="446"/>
    </row>
    <row r="89" spans="2:36" x14ac:dyDescent="0.25">
      <c r="B89" s="78"/>
      <c r="C89" s="79"/>
      <c r="D89" s="79"/>
      <c r="E89" s="79"/>
      <c r="F89" s="79"/>
      <c r="G89" s="79"/>
      <c r="H89" s="79"/>
      <c r="I89" s="79"/>
      <c r="J89" s="79"/>
      <c r="K89" s="79"/>
      <c r="L89" s="80"/>
      <c r="AA89" s="437"/>
      <c r="AB89" s="437"/>
      <c r="AC89" s="437"/>
      <c r="AD89" s="437"/>
      <c r="AE89" s="437"/>
      <c r="AF89" s="437"/>
      <c r="AG89" s="437"/>
      <c r="AH89" s="437"/>
      <c r="AI89" s="437"/>
      <c r="AJ89" s="437"/>
    </row>
    <row r="90" spans="2:36" ht="18.75" x14ac:dyDescent="0.3">
      <c r="B90" s="263"/>
      <c r="C90" s="263"/>
      <c r="D90" s="280" t="str">
        <f>AC90</f>
        <v>C₉H₁₈</v>
      </c>
      <c r="E90" s="280"/>
      <c r="F90" s="280" t="s">
        <v>49</v>
      </c>
      <c r="G90" s="280" t="str">
        <f>AF90</f>
        <v>⟶</v>
      </c>
      <c r="H90" s="280"/>
      <c r="I90" s="280" t="s">
        <v>31</v>
      </c>
      <c r="J90" s="280"/>
      <c r="K90" s="280" t="s">
        <v>50</v>
      </c>
      <c r="L90" s="80"/>
      <c r="AA90" s="437"/>
      <c r="AB90" s="437">
        <v>2</v>
      </c>
      <c r="AC90" s="445" t="s">
        <v>42</v>
      </c>
      <c r="AD90" s="445">
        <v>27</v>
      </c>
      <c r="AE90" s="445" t="s">
        <v>3</v>
      </c>
      <c r="AF90" s="445" t="s">
        <v>48</v>
      </c>
      <c r="AG90" s="445">
        <v>18</v>
      </c>
      <c r="AH90" s="445" t="s">
        <v>4</v>
      </c>
      <c r="AI90" s="445">
        <v>18</v>
      </c>
      <c r="AJ90" s="445" t="s">
        <v>5</v>
      </c>
    </row>
    <row r="91" spans="2:36" ht="18.75" x14ac:dyDescent="0.3">
      <c r="B91" s="280" t="s">
        <v>46</v>
      </c>
      <c r="C91" s="263"/>
      <c r="D91" s="337">
        <f>AB91</f>
        <v>57</v>
      </c>
      <c r="E91" s="265" t="str">
        <f>IF(SQRT((ABS(AD91-F91))^2)/AD91&gt;0.02,"F","R")</f>
        <v>F</v>
      </c>
      <c r="F91" s="99"/>
      <c r="G91" s="492"/>
      <c r="H91" s="265" t="str">
        <f>IF(SQRT((ABS(AG91-I91))^2)/AG91&gt;0.02,"F","R")</f>
        <v>F</v>
      </c>
      <c r="I91" s="99"/>
      <c r="J91" s="265" t="str">
        <f>IF(SQRT((ABS(AI91-K91))^2)/AI91&gt;0.02,"F","R")</f>
        <v>F</v>
      </c>
      <c r="K91" s="99"/>
      <c r="L91" s="80"/>
      <c r="AA91" s="437" t="s">
        <v>6</v>
      </c>
      <c r="AB91" s="446">
        <v>57</v>
      </c>
      <c r="AC91" s="446"/>
      <c r="AD91" s="446">
        <v>195.06630543276771</v>
      </c>
      <c r="AE91" s="446"/>
      <c r="AF91" s="437"/>
      <c r="AG91" s="446">
        <v>178.85141879366887</v>
      </c>
      <c r="AH91" s="446"/>
      <c r="AI91" s="446">
        <v>73.214886639098793</v>
      </c>
      <c r="AJ91" s="446"/>
    </row>
    <row r="92" spans="2:36" ht="18.75" x14ac:dyDescent="0.3">
      <c r="B92" s="280" t="s">
        <v>45</v>
      </c>
      <c r="C92" s="263" t="str">
        <f>IF(SQRT((ABS(AB92-D92))^2)/AB92&gt;0.02,"F","R")</f>
        <v>F</v>
      </c>
      <c r="D92" s="141"/>
      <c r="E92" s="265" t="str">
        <f>IF(SQRT((ABS(AD92-F92))^2)/AD92&gt;0.02,"F","R")</f>
        <v>F</v>
      </c>
      <c r="F92" s="141"/>
      <c r="G92" s="493"/>
      <c r="H92" s="265" t="str">
        <f>IF(SQRT((ABS(AG92-I92))^2)/AG92&gt;0.02,"F","R")</f>
        <v>F</v>
      </c>
      <c r="I92" s="141"/>
      <c r="J92" s="265" t="str">
        <f>IF(SQRT((ABS(AI92-K92))^2)/AI92&gt;0.02,"F","R")</f>
        <v>F</v>
      </c>
      <c r="K92" s="141"/>
      <c r="L92" s="80"/>
      <c r="AA92" s="437" t="s">
        <v>7</v>
      </c>
      <c r="AB92" s="446">
        <v>126.23400000000001</v>
      </c>
      <c r="AC92" s="446"/>
      <c r="AD92" s="446">
        <v>32</v>
      </c>
      <c r="AE92" s="446"/>
      <c r="AF92" s="437"/>
      <c r="AG92" s="446">
        <v>44.01</v>
      </c>
      <c r="AH92" s="446"/>
      <c r="AI92" s="446">
        <v>18.015999999999998</v>
      </c>
      <c r="AJ92" s="446"/>
    </row>
    <row r="93" spans="2:36" ht="18.75" x14ac:dyDescent="0.3">
      <c r="B93" s="280" t="s">
        <v>47</v>
      </c>
      <c r="C93" s="263" t="str">
        <f>IF(SQRT((ABS(AB93-D93))^2)/AB93&gt;0.02,"F","R")</f>
        <v>F</v>
      </c>
      <c r="D93" s="413"/>
      <c r="E93" s="265" t="str">
        <f>IF(SQRT((ABS(AD93-F93))^2)/AD93&gt;0.02,"F","R")</f>
        <v>F</v>
      </c>
      <c r="F93" s="413"/>
      <c r="G93" s="493"/>
      <c r="H93" s="265" t="str">
        <f>IF(SQRT((ABS(AG93-I93))^2)/AG93&gt;0.02,"F","R")</f>
        <v>F</v>
      </c>
      <c r="I93" s="413"/>
      <c r="J93" s="265" t="str">
        <f>IF(SQRT((ABS(AI93-K93))^2)/AI93&gt;0.02,"F","R")</f>
        <v>F</v>
      </c>
      <c r="K93" s="413"/>
      <c r="L93" s="80"/>
      <c r="AA93" s="437" t="s">
        <v>8</v>
      </c>
      <c r="AB93" s="446">
        <v>0.45154237368696226</v>
      </c>
      <c r="AC93" s="446"/>
      <c r="AD93" s="446">
        <v>6.0958220447739908</v>
      </c>
      <c r="AE93" s="446"/>
      <c r="AF93" s="437"/>
      <c r="AG93" s="446">
        <v>4.0638813631826602</v>
      </c>
      <c r="AH93" s="446"/>
      <c r="AI93" s="446">
        <v>4.0638813631826602</v>
      </c>
      <c r="AJ93" s="446"/>
    </row>
    <row r="94" spans="2:36" ht="18.75" x14ac:dyDescent="0.3">
      <c r="B94" s="280" t="s">
        <v>90</v>
      </c>
      <c r="C94" s="263" t="str">
        <f>IF(OR(AND(C90=AB94,OR(D94="",D94=AB94)),D94=AB94),"R","F")</f>
        <v>F</v>
      </c>
      <c r="D94" s="13"/>
      <c r="E94" s="265" t="str">
        <f>IF(OR(AND(E90=AD94,OR(F94="",F94=AD94)),F94=AD94),"R","F")</f>
        <v>F</v>
      </c>
      <c r="F94" s="12"/>
      <c r="G94" s="494"/>
      <c r="H94" s="265" t="str">
        <f>IF(OR(AND(H90=AG94,OR(I94="",I94=AG94)),I94=AG94),"R","F")</f>
        <v>F</v>
      </c>
      <c r="I94" s="12"/>
      <c r="J94" s="265" t="str">
        <f>IF(OR(AND(J90=AI94,OR(K94="",K94=AI94)),K94=AI94),"R","F")</f>
        <v>F</v>
      </c>
      <c r="K94" s="12"/>
      <c r="L94" s="80"/>
      <c r="AA94" s="437" t="s">
        <v>9</v>
      </c>
      <c r="AB94" s="446">
        <v>2</v>
      </c>
      <c r="AC94" s="446"/>
      <c r="AD94" s="446">
        <v>27</v>
      </c>
      <c r="AE94" s="446"/>
      <c r="AF94" s="437"/>
      <c r="AG94" s="446">
        <v>18</v>
      </c>
      <c r="AH94" s="446"/>
      <c r="AI94" s="446">
        <v>18</v>
      </c>
      <c r="AJ94" s="446"/>
    </row>
    <row r="95" spans="2:36" x14ac:dyDescent="0.25">
      <c r="B95" s="78"/>
      <c r="C95" s="79"/>
      <c r="D95" s="79"/>
      <c r="E95" s="79"/>
      <c r="F95" s="79"/>
      <c r="G95" s="79"/>
      <c r="H95" s="79"/>
      <c r="I95" s="79"/>
      <c r="J95" s="79"/>
      <c r="K95" s="79"/>
      <c r="L95" s="80"/>
      <c r="AA95" s="437"/>
      <c r="AB95" s="437"/>
      <c r="AC95" s="437"/>
      <c r="AD95" s="437"/>
      <c r="AE95" s="437"/>
      <c r="AF95" s="437"/>
      <c r="AG95" s="437"/>
      <c r="AH95" s="437"/>
      <c r="AI95" s="437"/>
      <c r="AJ95" s="437"/>
    </row>
    <row r="96" spans="2:36" ht="18.75" x14ac:dyDescent="0.3">
      <c r="B96" s="263"/>
      <c r="C96" s="263"/>
      <c r="D96" s="280" t="str">
        <f>AC96</f>
        <v>C₆H₁₂</v>
      </c>
      <c r="E96" s="280"/>
      <c r="F96" s="280" t="s">
        <v>49</v>
      </c>
      <c r="G96" s="280" t="str">
        <f>AF96</f>
        <v>⟶</v>
      </c>
      <c r="H96" s="280"/>
      <c r="I96" s="280" t="s">
        <v>31</v>
      </c>
      <c r="J96" s="280"/>
      <c r="K96" s="280" t="s">
        <v>50</v>
      </c>
      <c r="L96" s="80"/>
      <c r="AA96" s="437"/>
      <c r="AB96" s="437">
        <v>1</v>
      </c>
      <c r="AC96" s="445" t="s">
        <v>43</v>
      </c>
      <c r="AD96" s="445">
        <v>9</v>
      </c>
      <c r="AE96" s="445" t="s">
        <v>3</v>
      </c>
      <c r="AF96" s="445" t="s">
        <v>48</v>
      </c>
      <c r="AG96" s="445">
        <v>6</v>
      </c>
      <c r="AH96" s="445" t="s">
        <v>4</v>
      </c>
      <c r="AI96" s="445">
        <v>6</v>
      </c>
      <c r="AJ96" s="445" t="s">
        <v>5</v>
      </c>
    </row>
    <row r="97" spans="2:36" ht="18.75" x14ac:dyDescent="0.3">
      <c r="B97" s="280" t="s">
        <v>46</v>
      </c>
      <c r="C97" s="263"/>
      <c r="D97" s="337">
        <f>AB97</f>
        <v>67</v>
      </c>
      <c r="E97" s="265" t="str">
        <f>IF(SQRT((ABS(AD97-F97))^2)/AD97&gt;0.02,"F","R")</f>
        <v>F</v>
      </c>
      <c r="F97" s="99"/>
      <c r="G97" s="492"/>
      <c r="H97" s="265" t="str">
        <f>IF(SQRT((ABS(AG97-I97))^2)/AG97&gt;0.02,"F","R")</f>
        <v>F</v>
      </c>
      <c r="I97" s="99"/>
      <c r="J97" s="265" t="str">
        <f>IF(SQRT((ABS(AI97-K97))^2)/AI97&gt;0.02,"F","R")</f>
        <v>F</v>
      </c>
      <c r="K97" s="99"/>
      <c r="L97" s="80"/>
      <c r="AA97" s="437" t="s">
        <v>6</v>
      </c>
      <c r="AB97" s="446">
        <v>67</v>
      </c>
      <c r="AC97" s="446"/>
      <c r="AD97" s="446">
        <v>229.28846428062167</v>
      </c>
      <c r="AE97" s="446"/>
      <c r="AF97" s="437"/>
      <c r="AG97" s="446">
        <v>210.22886068729497</v>
      </c>
      <c r="AH97" s="446"/>
      <c r="AI97" s="446">
        <v>86.059603593326656</v>
      </c>
      <c r="AJ97" s="446"/>
    </row>
    <row r="98" spans="2:36" ht="18.75" x14ac:dyDescent="0.3">
      <c r="B98" s="280" t="s">
        <v>45</v>
      </c>
      <c r="C98" s="263" t="str">
        <f>IF(SQRT((ABS(AB98-D98))^2)/AB98&gt;0.02,"F","R")</f>
        <v>F</v>
      </c>
      <c r="D98" s="141"/>
      <c r="E98" s="265" t="str">
        <f>IF(SQRT((ABS(AD98-F98))^2)/AD98&gt;0.02,"F","R")</f>
        <v>F</v>
      </c>
      <c r="F98" s="141"/>
      <c r="G98" s="493"/>
      <c r="H98" s="265" t="str">
        <f>IF(SQRT((ABS(AG98-I98))^2)/AG98&gt;0.02,"F","R")</f>
        <v>F</v>
      </c>
      <c r="I98" s="141"/>
      <c r="J98" s="265" t="str">
        <f>IF(SQRT((ABS(AI98-K98))^2)/AI98&gt;0.02,"F","R")</f>
        <v>F</v>
      </c>
      <c r="K98" s="141"/>
      <c r="L98" s="80"/>
      <c r="AA98" s="437" t="s">
        <v>7</v>
      </c>
      <c r="AB98" s="446">
        <v>84.156000000000006</v>
      </c>
      <c r="AC98" s="446"/>
      <c r="AD98" s="446">
        <v>32</v>
      </c>
      <c r="AE98" s="446"/>
      <c r="AF98" s="437"/>
      <c r="AG98" s="446">
        <v>44.01</v>
      </c>
      <c r="AH98" s="446"/>
      <c r="AI98" s="446">
        <v>18.015999999999998</v>
      </c>
      <c r="AJ98" s="446"/>
    </row>
    <row r="99" spans="2:36" ht="18.75" x14ac:dyDescent="0.3">
      <c r="B99" s="280" t="s">
        <v>47</v>
      </c>
      <c r="C99" s="263" t="str">
        <f>IF(SQRT((ABS(AB99-D99))^2)/AB99&gt;0.02,"F","R")</f>
        <v>F</v>
      </c>
      <c r="D99" s="413"/>
      <c r="E99" s="265" t="str">
        <f>IF(SQRT((ABS(AD99-F99))^2)/AD99&gt;0.02,"F","R")</f>
        <v>F</v>
      </c>
      <c r="F99" s="413"/>
      <c r="G99" s="493"/>
      <c r="H99" s="265" t="str">
        <f>IF(SQRT((ABS(AG99-I99))^2)/AG99&gt;0.02,"F","R")</f>
        <v>F</v>
      </c>
      <c r="I99" s="413"/>
      <c r="J99" s="265" t="str">
        <f>IF(SQRT((ABS(AI99-K99))^2)/AI99&gt;0.02,"F","R")</f>
        <v>F</v>
      </c>
      <c r="K99" s="413"/>
      <c r="L99" s="80"/>
      <c r="AA99" s="437" t="s">
        <v>8</v>
      </c>
      <c r="AB99" s="446">
        <v>0.79614050097438083</v>
      </c>
      <c r="AC99" s="446"/>
      <c r="AD99" s="446">
        <v>7.1652645087694271</v>
      </c>
      <c r="AE99" s="446"/>
      <c r="AF99" s="437"/>
      <c r="AG99" s="446">
        <v>4.7768430058462847</v>
      </c>
      <c r="AH99" s="446"/>
      <c r="AI99" s="446">
        <v>4.7768430058462847</v>
      </c>
      <c r="AJ99" s="446"/>
    </row>
    <row r="100" spans="2:36" ht="18.75" x14ac:dyDescent="0.3">
      <c r="B100" s="280" t="s">
        <v>90</v>
      </c>
      <c r="C100" s="263" t="str">
        <f>IF(OR(AND(C96=AB100,OR(D100="",D100=AB100)),D100=AB100),"R","F")</f>
        <v>F</v>
      </c>
      <c r="D100" s="13"/>
      <c r="E100" s="265" t="str">
        <f>IF(OR(AND(E96=AD100,OR(F100="",F100=AD100)),F100=AD100),"R","F")</f>
        <v>F</v>
      </c>
      <c r="F100" s="12"/>
      <c r="G100" s="494"/>
      <c r="H100" s="265" t="str">
        <f>IF(OR(AND(H96=AG100,OR(I100="",I100=AG100)),I100=AG100),"R","F")</f>
        <v>F</v>
      </c>
      <c r="I100" s="12"/>
      <c r="J100" s="265" t="str">
        <f>IF(OR(AND(J96=AI100,OR(K100="",K100=AI100)),K100=AI100),"R","F")</f>
        <v>F</v>
      </c>
      <c r="K100" s="12"/>
      <c r="L100" s="80"/>
      <c r="AA100" s="437" t="s">
        <v>9</v>
      </c>
      <c r="AB100" s="446">
        <v>1</v>
      </c>
      <c r="AC100" s="446"/>
      <c r="AD100" s="446">
        <v>9</v>
      </c>
      <c r="AE100" s="446"/>
      <c r="AF100" s="437"/>
      <c r="AG100" s="446">
        <v>6</v>
      </c>
      <c r="AH100" s="446"/>
      <c r="AI100" s="446">
        <v>6</v>
      </c>
      <c r="AJ100" s="446"/>
    </row>
    <row r="101" spans="2:36" x14ac:dyDescent="0.25">
      <c r="B101" s="78"/>
      <c r="C101" s="79"/>
      <c r="D101" s="79"/>
      <c r="E101" s="79"/>
      <c r="F101" s="79"/>
      <c r="G101" s="79"/>
      <c r="H101" s="79"/>
      <c r="I101" s="79"/>
      <c r="J101" s="79"/>
      <c r="K101" s="79"/>
      <c r="L101" s="80"/>
      <c r="AA101" s="437"/>
      <c r="AB101" s="437"/>
      <c r="AC101" s="437"/>
      <c r="AD101" s="437"/>
      <c r="AE101" s="437"/>
      <c r="AF101" s="437"/>
      <c r="AG101" s="437"/>
      <c r="AH101" s="437"/>
      <c r="AI101" s="437"/>
      <c r="AJ101" s="437"/>
    </row>
    <row r="102" spans="2:36" ht="18.75" x14ac:dyDescent="0.3">
      <c r="B102" s="263"/>
      <c r="C102" s="263"/>
      <c r="D102" s="280" t="str">
        <f>AC102</f>
        <v>C₁₄H₃₀</v>
      </c>
      <c r="E102" s="280"/>
      <c r="F102" s="280" t="s">
        <v>49</v>
      </c>
      <c r="G102" s="280" t="str">
        <f>AF102</f>
        <v>⟶</v>
      </c>
      <c r="H102" s="280"/>
      <c r="I102" s="280" t="s">
        <v>31</v>
      </c>
      <c r="J102" s="280"/>
      <c r="K102" s="280" t="s">
        <v>50</v>
      </c>
      <c r="L102" s="80"/>
      <c r="AA102" s="437"/>
      <c r="AB102" s="437">
        <v>2</v>
      </c>
      <c r="AC102" s="445" t="s">
        <v>44</v>
      </c>
      <c r="AD102" s="445">
        <v>43</v>
      </c>
      <c r="AE102" s="445" t="s">
        <v>3</v>
      </c>
      <c r="AF102" s="445" t="s">
        <v>48</v>
      </c>
      <c r="AG102" s="445">
        <v>28</v>
      </c>
      <c r="AH102" s="445" t="s">
        <v>4</v>
      </c>
      <c r="AI102" s="445">
        <v>30</v>
      </c>
      <c r="AJ102" s="445" t="s">
        <v>5</v>
      </c>
    </row>
    <row r="103" spans="2:36" ht="18.75" x14ac:dyDescent="0.3">
      <c r="B103" s="280" t="s">
        <v>46</v>
      </c>
      <c r="C103" s="263"/>
      <c r="D103" s="337">
        <f>AB103</f>
        <v>44</v>
      </c>
      <c r="E103" s="265" t="str">
        <f>IF(SQRT((ABS(AD103-F103))^2)/AD103&gt;0.02,"F","R")</f>
        <v>F</v>
      </c>
      <c r="F103" s="99"/>
      <c r="G103" s="492"/>
      <c r="H103" s="265" t="str">
        <f>IF(SQRT((ABS(AG103-I103))^2)/AG103&gt;0.02,"F","R")</f>
        <v>F</v>
      </c>
      <c r="I103" s="99"/>
      <c r="J103" s="265" t="str">
        <f>IF(SQRT((ABS(AI103-K103))^2)/AI103&gt;0.02,"F","R")</f>
        <v>F</v>
      </c>
      <c r="K103" s="99"/>
      <c r="L103" s="80"/>
      <c r="AA103" s="437" t="s">
        <v>6</v>
      </c>
      <c r="AB103" s="446">
        <v>44</v>
      </c>
      <c r="AC103" s="446"/>
      <c r="AD103" s="446">
        <v>152.59602782538562</v>
      </c>
      <c r="AE103" s="446"/>
      <c r="AF103" s="437"/>
      <c r="AG103" s="446">
        <v>136.65772759350739</v>
      </c>
      <c r="AH103" s="446"/>
      <c r="AI103" s="446">
        <v>59.938300231878202</v>
      </c>
      <c r="AJ103" s="446"/>
    </row>
    <row r="104" spans="2:36" ht="18.75" x14ac:dyDescent="0.3">
      <c r="B104" s="280" t="s">
        <v>45</v>
      </c>
      <c r="C104" s="263" t="str">
        <f>IF(SQRT((ABS(AB104-D104))^2)/AB104&gt;0.02,"F","R")</f>
        <v>F</v>
      </c>
      <c r="D104" s="141"/>
      <c r="E104" s="265" t="str">
        <f>IF(SQRT((ABS(AD104-F104))^2)/AD104&gt;0.02,"F","R")</f>
        <v>F</v>
      </c>
      <c r="F104" s="141"/>
      <c r="G104" s="493"/>
      <c r="H104" s="265" t="str">
        <f>IF(SQRT((ABS(AG104-I104))^2)/AG104&gt;0.02,"F","R")</f>
        <v>F</v>
      </c>
      <c r="I104" s="141"/>
      <c r="J104" s="265" t="str">
        <f>IF(SQRT((ABS(AI104-K104))^2)/AI104&gt;0.02,"F","R")</f>
        <v>F</v>
      </c>
      <c r="K104" s="141"/>
      <c r="L104" s="80"/>
      <c r="AA104" s="437" t="s">
        <v>7</v>
      </c>
      <c r="AB104" s="446">
        <v>198.38</v>
      </c>
      <c r="AC104" s="446"/>
      <c r="AD104" s="446">
        <v>32</v>
      </c>
      <c r="AE104" s="446"/>
      <c r="AF104" s="437"/>
      <c r="AG104" s="446">
        <v>44.01</v>
      </c>
      <c r="AH104" s="446"/>
      <c r="AI104" s="446">
        <v>18.015999999999998</v>
      </c>
      <c r="AJ104" s="446"/>
    </row>
    <row r="105" spans="2:36" ht="18.75" x14ac:dyDescent="0.3">
      <c r="B105" s="280" t="s">
        <v>47</v>
      </c>
      <c r="C105" s="263" t="str">
        <f>IF(SQRT((ABS(AB105-D105))^2)/AB105&gt;0.02,"F","R")</f>
        <v>F</v>
      </c>
      <c r="D105" s="413"/>
      <c r="E105" s="265" t="str">
        <f>IF(SQRT((ABS(AD105-F105))^2)/AD105&gt;0.02,"F","R")</f>
        <v>F</v>
      </c>
      <c r="F105" s="413"/>
      <c r="G105" s="493"/>
      <c r="H105" s="265" t="str">
        <f>IF(SQRT((ABS(AG105-I105))^2)/AG105&gt;0.02,"F","R")</f>
        <v>F</v>
      </c>
      <c r="I105" s="413"/>
      <c r="J105" s="265" t="str">
        <f>IF(SQRT((ABS(AI105-K105))^2)/AI105&gt;0.02,"F","R")</f>
        <v>F</v>
      </c>
      <c r="K105" s="413"/>
      <c r="L105" s="80"/>
      <c r="AA105" s="437" t="s">
        <v>8</v>
      </c>
      <c r="AB105" s="446">
        <v>0.22179655207178142</v>
      </c>
      <c r="AC105" s="446"/>
      <c r="AD105" s="446">
        <v>4.7686258695433006</v>
      </c>
      <c r="AE105" s="446"/>
      <c r="AF105" s="437"/>
      <c r="AG105" s="446">
        <v>3.1051517290049397</v>
      </c>
      <c r="AH105" s="446"/>
      <c r="AI105" s="446">
        <v>3.3269482810767212</v>
      </c>
      <c r="AJ105" s="446"/>
    </row>
    <row r="106" spans="2:36" ht="18.75" x14ac:dyDescent="0.3">
      <c r="B106" s="280" t="s">
        <v>90</v>
      </c>
      <c r="C106" s="263" t="str">
        <f>IF(OR(AND(C102=AB106,OR(D106="",D106=AB106)),D106=AB106),"R","F")</f>
        <v>F</v>
      </c>
      <c r="D106" s="13"/>
      <c r="E106" s="265" t="str">
        <f>IF(OR(AND(E102=AD106,OR(F106="",F106=AD106)),F106=AD106),"R","F")</f>
        <v>F</v>
      </c>
      <c r="F106" s="12"/>
      <c r="G106" s="494"/>
      <c r="H106" s="265" t="str">
        <f>IF(OR(AND(H102=AG106,OR(I106="",I106=AG106)),I106=AG106),"R","F")</f>
        <v>F</v>
      </c>
      <c r="I106" s="12"/>
      <c r="J106" s="265" t="str">
        <f>IF(OR(AND(J102=AI106,OR(K106="",K106=AI106)),K106=AI106),"R","F")</f>
        <v>F</v>
      </c>
      <c r="K106" s="12"/>
      <c r="L106" s="86"/>
      <c r="AA106" s="437" t="s">
        <v>9</v>
      </c>
      <c r="AB106" s="446">
        <v>2</v>
      </c>
      <c r="AC106" s="446"/>
      <c r="AD106" s="446">
        <v>43</v>
      </c>
      <c r="AE106" s="446"/>
      <c r="AF106" s="437"/>
      <c r="AG106" s="446">
        <v>28</v>
      </c>
      <c r="AH106" s="446"/>
      <c r="AI106" s="446">
        <v>30</v>
      </c>
      <c r="AJ106" s="446"/>
    </row>
    <row r="107" spans="2:36" hidden="1" x14ac:dyDescent="0.25">
      <c r="B107" s="106"/>
      <c r="C107" s="3"/>
      <c r="D107" s="3"/>
      <c r="E107" s="3"/>
      <c r="F107" s="3"/>
      <c r="G107" s="3"/>
      <c r="H107" s="3"/>
      <c r="I107" s="3"/>
      <c r="J107" s="3"/>
      <c r="K107" s="3"/>
      <c r="L107" s="107"/>
      <c r="N107" s="3"/>
      <c r="O107" s="3"/>
      <c r="P107" s="3"/>
      <c r="Q107" s="3"/>
      <c r="R107" s="3"/>
      <c r="S107" s="3"/>
      <c r="T107" s="3"/>
      <c r="U107" s="3"/>
      <c r="V107" s="3"/>
      <c r="W107" s="3"/>
      <c r="X107" s="3"/>
      <c r="Y107" s="3"/>
      <c r="Z107" s="3"/>
      <c r="AA107" s="437"/>
      <c r="AB107" s="437"/>
      <c r="AC107" s="437"/>
      <c r="AD107" s="437"/>
      <c r="AE107" s="437"/>
      <c r="AF107" s="437"/>
      <c r="AG107" s="437"/>
      <c r="AH107" s="437"/>
      <c r="AI107" s="437"/>
      <c r="AJ107" s="437"/>
    </row>
    <row r="108" spans="2:36" ht="18.75" hidden="1" x14ac:dyDescent="0.3">
      <c r="B108" s="6"/>
      <c r="C108" s="6"/>
      <c r="D108" s="7" t="str">
        <f>AC108</f>
        <v>C6H14</v>
      </c>
      <c r="E108" s="7"/>
      <c r="F108" s="7" t="s">
        <v>49</v>
      </c>
      <c r="G108" s="7" t="str">
        <f>AF108</f>
        <v>⟶</v>
      </c>
      <c r="H108" s="7"/>
      <c r="I108" s="7" t="s">
        <v>31</v>
      </c>
      <c r="J108" s="7"/>
      <c r="K108" s="7" t="s">
        <v>50</v>
      </c>
      <c r="L108" s="107"/>
      <c r="N108" s="3"/>
      <c r="O108" s="3"/>
      <c r="P108" s="3"/>
      <c r="Q108" s="3"/>
      <c r="R108" s="3"/>
      <c r="S108" s="3"/>
      <c r="T108" s="3"/>
      <c r="U108" s="3"/>
      <c r="V108" s="3"/>
      <c r="W108" s="3"/>
      <c r="X108" s="3"/>
      <c r="Y108" s="3"/>
      <c r="Z108" s="3"/>
      <c r="AA108" s="437"/>
      <c r="AB108" s="437">
        <v>2</v>
      </c>
      <c r="AC108" s="445" t="s">
        <v>21</v>
      </c>
      <c r="AD108" s="445">
        <v>19</v>
      </c>
      <c r="AE108" s="445" t="s">
        <v>3</v>
      </c>
      <c r="AF108" s="445" t="s">
        <v>48</v>
      </c>
      <c r="AG108" s="445">
        <v>12</v>
      </c>
      <c r="AH108" s="445" t="s">
        <v>4</v>
      </c>
      <c r="AI108" s="445">
        <v>14</v>
      </c>
      <c r="AJ108" s="445" t="s">
        <v>5</v>
      </c>
    </row>
    <row r="109" spans="2:36" ht="18.75" hidden="1" x14ac:dyDescent="0.3">
      <c r="B109" s="7" t="s">
        <v>6</v>
      </c>
      <c r="C109" s="6"/>
      <c r="D109" s="6">
        <f>AB109</f>
        <v>236</v>
      </c>
      <c r="E109" s="6" t="str">
        <f>IF(SQRT((ABS(AD109-F109))^2)/AD109&gt;0.02,"F","R")</f>
        <v>F</v>
      </c>
      <c r="F109" s="6"/>
      <c r="G109" s="6"/>
      <c r="H109" s="6" t="str">
        <f>IF(SQRT((ABS(AG109-I109))^2)/AG109&gt;0.02,"F","R")</f>
        <v>F</v>
      </c>
      <c r="I109" s="6"/>
      <c r="J109" s="6" t="str">
        <f>IF(SQRT((ABS(AI109-K109))^2)/AI109&gt;0.02,"F","R")</f>
        <v>F</v>
      </c>
      <c r="K109" s="6"/>
      <c r="L109" s="107"/>
      <c r="N109" s="3"/>
      <c r="O109" s="3"/>
      <c r="P109" s="3"/>
      <c r="Q109" s="3"/>
      <c r="R109" s="3"/>
      <c r="S109" s="3"/>
      <c r="T109" s="3"/>
      <c r="U109" s="3"/>
      <c r="V109" s="3"/>
      <c r="W109" s="3"/>
      <c r="X109" s="3"/>
      <c r="Y109" s="3"/>
      <c r="Z109" s="3"/>
      <c r="AA109" s="437" t="s">
        <v>6</v>
      </c>
      <c r="AB109" s="446">
        <v>236</v>
      </c>
      <c r="AC109" s="446"/>
      <c r="AD109" s="446">
        <v>832.56742329294912</v>
      </c>
      <c r="AE109" s="446"/>
      <c r="AF109" s="437"/>
      <c r="AG109" s="446">
        <v>723.18340064057941</v>
      </c>
      <c r="AH109" s="446"/>
      <c r="AI109" s="446">
        <v>345.38402265236971</v>
      </c>
      <c r="AJ109" s="446"/>
    </row>
    <row r="110" spans="2:36" ht="18.75" hidden="1" x14ac:dyDescent="0.3">
      <c r="B110" s="7" t="s">
        <v>7</v>
      </c>
      <c r="C110" s="6" t="str">
        <f>IF(SQRT((ABS(AB110-D110))^2)/AB110&gt;0.02,"F","R")</f>
        <v>F</v>
      </c>
      <c r="D110" s="6"/>
      <c r="E110" s="6" t="str">
        <f>IF(SQRT((ABS(AD110-F110))^2)/AD110&gt;0.02,"F","R")</f>
        <v>F</v>
      </c>
      <c r="F110" s="6"/>
      <c r="G110" s="6"/>
      <c r="H110" s="6" t="str">
        <f>IF(SQRT((ABS(AG110-I110))^2)/AG110&gt;0.02,"F","R")</f>
        <v>F</v>
      </c>
      <c r="I110" s="6"/>
      <c r="J110" s="6" t="str">
        <f>IF(SQRT((ABS(AI110-K110))^2)/AI110&gt;0.02,"F","R")</f>
        <v>F</v>
      </c>
      <c r="K110" s="6"/>
      <c r="L110" s="107"/>
      <c r="N110" s="3"/>
      <c r="O110" s="3"/>
      <c r="P110" s="3"/>
      <c r="Q110" s="3"/>
      <c r="R110" s="3"/>
      <c r="S110" s="3"/>
      <c r="T110" s="3"/>
      <c r="U110" s="3"/>
      <c r="V110" s="3"/>
      <c r="W110" s="3"/>
      <c r="X110" s="3"/>
      <c r="Y110" s="3"/>
      <c r="Z110" s="3"/>
      <c r="AA110" s="437" t="s">
        <v>7</v>
      </c>
      <c r="AB110" s="446">
        <v>86.171999999999997</v>
      </c>
      <c r="AC110" s="446"/>
      <c r="AD110" s="446">
        <v>32</v>
      </c>
      <c r="AE110" s="446"/>
      <c r="AF110" s="437"/>
      <c r="AG110" s="446">
        <v>44.01</v>
      </c>
      <c r="AH110" s="446"/>
      <c r="AI110" s="446">
        <v>18.015999999999998</v>
      </c>
      <c r="AJ110" s="446"/>
    </row>
    <row r="111" spans="2:36" ht="18.75" hidden="1" x14ac:dyDescent="0.3">
      <c r="B111" s="7" t="s">
        <v>8</v>
      </c>
      <c r="C111" s="6" t="str">
        <f>IF(SQRT((ABS(AB111-D111))^2)/AB111&gt;0.02,"F","R")</f>
        <v>F</v>
      </c>
      <c r="D111" s="6"/>
      <c r="E111" s="6" t="str">
        <f>IF(SQRT((ABS(AD111-F111))^2)/AD111&gt;0.02,"F","R")</f>
        <v>F</v>
      </c>
      <c r="F111" s="6"/>
      <c r="G111" s="6"/>
      <c r="H111" s="6" t="str">
        <f>IF(SQRT((ABS(AG111-I111))^2)/AG111&gt;0.02,"F","R")</f>
        <v>F</v>
      </c>
      <c r="I111" s="6"/>
      <c r="J111" s="6" t="str">
        <f>IF(SQRT((ABS(AI111-K111))^2)/AI111&gt;0.02,"F","R")</f>
        <v>F</v>
      </c>
      <c r="K111" s="6"/>
      <c r="L111" s="107"/>
      <c r="N111" s="3"/>
      <c r="O111" s="3"/>
      <c r="P111" s="3"/>
      <c r="Q111" s="3"/>
      <c r="R111" s="3"/>
      <c r="S111" s="3"/>
      <c r="T111" s="3"/>
      <c r="U111" s="3"/>
      <c r="V111" s="3"/>
      <c r="W111" s="3"/>
      <c r="X111" s="3"/>
      <c r="Y111" s="3"/>
      <c r="Z111" s="3"/>
      <c r="AA111" s="437" t="s">
        <v>8</v>
      </c>
      <c r="AB111" s="446">
        <v>2.738708629253122</v>
      </c>
      <c r="AC111" s="446"/>
      <c r="AD111" s="446">
        <v>26.01773197790466</v>
      </c>
      <c r="AE111" s="446"/>
      <c r="AF111" s="437"/>
      <c r="AG111" s="446">
        <v>16.432251775518733</v>
      </c>
      <c r="AH111" s="446"/>
      <c r="AI111" s="446">
        <v>19.170960404771854</v>
      </c>
      <c r="AJ111" s="446"/>
    </row>
    <row r="112" spans="2:36" ht="18.75" hidden="1" x14ac:dyDescent="0.3">
      <c r="B112" s="7" t="s">
        <v>9</v>
      </c>
      <c r="C112" s="6" t="str">
        <f>IF(SQRT((ABS(AB112-D112))^2)/AB112&gt;0.02,"F","R")</f>
        <v>F</v>
      </c>
      <c r="D112" s="6"/>
      <c r="E112" s="6" t="str">
        <f>IF(SQRT((ABS(AD112-F112))^2)/AD112&gt;0.02,"F","R")</f>
        <v>F</v>
      </c>
      <c r="F112" s="6"/>
      <c r="G112" s="6"/>
      <c r="H112" s="6" t="str">
        <f>IF(SQRT((ABS(AG112-I112))^2)/AG112&gt;0.02,"F","R")</f>
        <v>F</v>
      </c>
      <c r="I112" s="6"/>
      <c r="J112" s="6" t="str">
        <f>IF(SQRT((ABS(AI112-K112))^2)/AI112&gt;0.02,"F","R")</f>
        <v>F</v>
      </c>
      <c r="K112" s="6"/>
      <c r="L112" s="107"/>
      <c r="N112" s="3"/>
      <c r="O112" s="3"/>
      <c r="P112" s="3"/>
      <c r="Q112" s="3"/>
      <c r="R112" s="3"/>
      <c r="S112" s="3"/>
      <c r="T112" s="3"/>
      <c r="U112" s="3"/>
      <c r="V112" s="3"/>
      <c r="W112" s="3"/>
      <c r="X112" s="3"/>
      <c r="Y112" s="3"/>
      <c r="Z112" s="3"/>
      <c r="AA112" s="437" t="s">
        <v>9</v>
      </c>
      <c r="AB112" s="446">
        <v>2</v>
      </c>
      <c r="AC112" s="446"/>
      <c r="AD112" s="446">
        <v>19</v>
      </c>
      <c r="AE112" s="446"/>
      <c r="AF112" s="437"/>
      <c r="AG112" s="446">
        <v>12</v>
      </c>
      <c r="AH112" s="446"/>
      <c r="AI112" s="446">
        <v>14</v>
      </c>
      <c r="AJ112" s="446"/>
    </row>
    <row r="113" spans="2:36" x14ac:dyDescent="0.25">
      <c r="AA113" s="437"/>
      <c r="AB113" s="437"/>
      <c r="AC113" s="437"/>
      <c r="AD113" s="437"/>
      <c r="AE113" s="437"/>
      <c r="AF113" s="437"/>
      <c r="AG113" s="437"/>
      <c r="AH113" s="437"/>
      <c r="AI113" s="437"/>
      <c r="AJ113" s="437"/>
    </row>
    <row r="114" spans="2:36" ht="18.75" hidden="1" x14ac:dyDescent="0.3">
      <c r="B114" s="6"/>
      <c r="C114" s="6"/>
      <c r="D114" s="7" t="str">
        <f>AC114</f>
        <v>C7H16</v>
      </c>
      <c r="E114" s="7"/>
      <c r="F114" s="7" t="s">
        <v>49</v>
      </c>
      <c r="G114" s="7" t="str">
        <f>AF114</f>
        <v>⟶</v>
      </c>
      <c r="H114" s="7"/>
      <c r="I114" s="7" t="s">
        <v>31</v>
      </c>
      <c r="J114" s="7"/>
      <c r="K114" s="7" t="s">
        <v>50</v>
      </c>
      <c r="L114" s="107"/>
      <c r="N114" s="3"/>
      <c r="O114" s="3"/>
      <c r="P114" s="3"/>
      <c r="Q114" s="3"/>
      <c r="R114" s="3"/>
      <c r="S114" s="3"/>
      <c r="T114" s="3"/>
      <c r="U114" s="3"/>
      <c r="V114" s="3"/>
      <c r="W114" s="3"/>
      <c r="X114" s="3"/>
      <c r="Y114" s="3"/>
      <c r="Z114" s="3"/>
      <c r="AA114" s="437"/>
      <c r="AB114" s="437">
        <v>1</v>
      </c>
      <c r="AC114" s="445" t="s">
        <v>12</v>
      </c>
      <c r="AD114" s="445">
        <v>11</v>
      </c>
      <c r="AE114" s="445" t="s">
        <v>3</v>
      </c>
      <c r="AF114" s="445" t="s">
        <v>48</v>
      </c>
      <c r="AG114" s="445">
        <v>7</v>
      </c>
      <c r="AH114" s="445" t="s">
        <v>4</v>
      </c>
      <c r="AI114" s="445">
        <v>8</v>
      </c>
      <c r="AJ114" s="445" t="s">
        <v>5</v>
      </c>
    </row>
    <row r="115" spans="2:36" ht="18.75" hidden="1" x14ac:dyDescent="0.3">
      <c r="B115" s="7" t="s">
        <v>6</v>
      </c>
      <c r="C115" s="6"/>
      <c r="D115" s="6">
        <f>AB115</f>
        <v>126</v>
      </c>
      <c r="E115" s="6" t="str">
        <f>IF(SQRT((ABS(AD115-F115))^2)/AD115&gt;0.02,"F","R")</f>
        <v>F</v>
      </c>
      <c r="F115" s="6"/>
      <c r="G115" s="6"/>
      <c r="H115" s="6" t="str">
        <f>IF(SQRT((ABS(AG115-I115))^2)/AG115&gt;0.02,"F","R")</f>
        <v>F</v>
      </c>
      <c r="I115" s="6"/>
      <c r="J115" s="6" t="str">
        <f>IF(SQRT((ABS(AI115-K115))^2)/AI115&gt;0.02,"F","R")</f>
        <v>F</v>
      </c>
      <c r="K115" s="6"/>
      <c r="L115" s="107"/>
      <c r="N115" s="3"/>
      <c r="O115" s="3"/>
      <c r="P115" s="3"/>
      <c r="Q115" s="3"/>
      <c r="R115" s="3"/>
      <c r="S115" s="3"/>
      <c r="T115" s="3"/>
      <c r="U115" s="3"/>
      <c r="V115" s="3"/>
      <c r="W115" s="3"/>
      <c r="X115" s="3"/>
      <c r="Y115" s="3"/>
      <c r="Z115" s="3"/>
      <c r="AA115" s="437" t="s">
        <v>6</v>
      </c>
      <c r="AB115" s="446">
        <v>126</v>
      </c>
      <c r="AC115" s="446"/>
      <c r="AD115" s="446">
        <v>442.6435657398352</v>
      </c>
      <c r="AE115" s="446"/>
      <c r="AF115" s="437"/>
      <c r="AG115" s="446">
        <v>387.40114573145172</v>
      </c>
      <c r="AH115" s="446"/>
      <c r="AI115" s="446">
        <v>181.24242000838342</v>
      </c>
      <c r="AJ115" s="446"/>
    </row>
    <row r="116" spans="2:36" ht="18.75" hidden="1" x14ac:dyDescent="0.3">
      <c r="B116" s="7" t="s">
        <v>7</v>
      </c>
      <c r="C116" s="6" t="str">
        <f>IF(SQRT((ABS(AB116-D116))^2)/AB116&gt;0.02,"F","R")</f>
        <v>F</v>
      </c>
      <c r="D116" s="6"/>
      <c r="E116" s="6" t="str">
        <f>IF(SQRT((ABS(AD116-F116))^2)/AD116&gt;0.02,"F","R")</f>
        <v>F</v>
      </c>
      <c r="F116" s="6"/>
      <c r="G116" s="6"/>
      <c r="H116" s="6" t="str">
        <f>IF(SQRT((ABS(AG116-I116))^2)/AG116&gt;0.02,"F","R")</f>
        <v>F</v>
      </c>
      <c r="I116" s="6"/>
      <c r="J116" s="6" t="str">
        <f>IF(SQRT((ABS(AI116-K116))^2)/AI116&gt;0.02,"F","R")</f>
        <v>F</v>
      </c>
      <c r="K116" s="6"/>
      <c r="L116" s="107"/>
      <c r="N116" s="3"/>
      <c r="O116" s="3"/>
      <c r="P116" s="3"/>
      <c r="Q116" s="3"/>
      <c r="R116" s="3"/>
      <c r="S116" s="3"/>
      <c r="T116" s="3"/>
      <c r="U116" s="3"/>
      <c r="V116" s="3"/>
      <c r="W116" s="3"/>
      <c r="X116" s="3"/>
      <c r="Y116" s="3"/>
      <c r="Z116" s="3"/>
      <c r="AA116" s="437" t="s">
        <v>7</v>
      </c>
      <c r="AB116" s="446">
        <v>100.19799999999999</v>
      </c>
      <c r="AC116" s="446"/>
      <c r="AD116" s="446">
        <v>32</v>
      </c>
      <c r="AE116" s="446"/>
      <c r="AF116" s="437"/>
      <c r="AG116" s="446">
        <v>44.01</v>
      </c>
      <c r="AH116" s="446"/>
      <c r="AI116" s="446">
        <v>18.015999999999998</v>
      </c>
      <c r="AJ116" s="446"/>
    </row>
    <row r="117" spans="2:36" ht="18.75" hidden="1" x14ac:dyDescent="0.3">
      <c r="B117" s="7" t="s">
        <v>8</v>
      </c>
      <c r="C117" s="6" t="str">
        <f>IF(SQRT((ABS(AB117-D117))^2)/AB117&gt;0.02,"F","R")</f>
        <v>F</v>
      </c>
      <c r="D117" s="6"/>
      <c r="E117" s="6" t="str">
        <f>IF(SQRT((ABS(AD117-F117))^2)/AD117&gt;0.02,"F","R")</f>
        <v>F</v>
      </c>
      <c r="F117" s="6"/>
      <c r="G117" s="6"/>
      <c r="H117" s="6" t="str">
        <f>IF(SQRT((ABS(AG117-I117))^2)/AG117&gt;0.02,"F","R")</f>
        <v>F</v>
      </c>
      <c r="I117" s="6"/>
      <c r="J117" s="6" t="str">
        <f>IF(SQRT((ABS(AI117-K117))^2)/AI117&gt;0.02,"F","R")</f>
        <v>F</v>
      </c>
      <c r="K117" s="6"/>
      <c r="L117" s="107"/>
      <c r="N117" s="3"/>
      <c r="O117" s="3"/>
      <c r="P117" s="3"/>
      <c r="Q117" s="3"/>
      <c r="R117" s="3"/>
      <c r="S117" s="3"/>
      <c r="T117" s="3"/>
      <c r="U117" s="3"/>
      <c r="V117" s="3"/>
      <c r="W117" s="3"/>
      <c r="X117" s="3"/>
      <c r="Y117" s="3"/>
      <c r="Z117" s="3"/>
      <c r="AA117" s="437" t="s">
        <v>8</v>
      </c>
      <c r="AB117" s="446">
        <v>1.2575101299427136</v>
      </c>
      <c r="AC117" s="446"/>
      <c r="AD117" s="446">
        <v>13.83261142936985</v>
      </c>
      <c r="AE117" s="446"/>
      <c r="AF117" s="437"/>
      <c r="AG117" s="446">
        <v>8.8025709095989946</v>
      </c>
      <c r="AH117" s="446"/>
      <c r="AI117" s="446">
        <v>10.060081039541709</v>
      </c>
      <c r="AJ117" s="446"/>
    </row>
    <row r="118" spans="2:36" ht="18.75" hidden="1" x14ac:dyDescent="0.3">
      <c r="B118" s="7" t="s">
        <v>9</v>
      </c>
      <c r="C118" s="6" t="str">
        <f>IF(SQRT((ABS(AB118-D118))^2)/AB118&gt;0.02,"F","R")</f>
        <v>F</v>
      </c>
      <c r="D118" s="6"/>
      <c r="E118" s="6" t="str">
        <f>IF(SQRT((ABS(AD118-F118))^2)/AD118&gt;0.02,"F","R")</f>
        <v>F</v>
      </c>
      <c r="F118" s="6"/>
      <c r="G118" s="6"/>
      <c r="H118" s="6" t="str">
        <f>IF(SQRT((ABS(AG118-I118))^2)/AG118&gt;0.02,"F","R")</f>
        <v>F</v>
      </c>
      <c r="I118" s="6"/>
      <c r="J118" s="6" t="str">
        <f>IF(SQRT((ABS(AI118-K118))^2)/AI118&gt;0.02,"F","R")</f>
        <v>F</v>
      </c>
      <c r="K118" s="6"/>
      <c r="L118" s="107"/>
      <c r="N118" s="3"/>
      <c r="O118" s="3"/>
      <c r="P118" s="3"/>
      <c r="Q118" s="3"/>
      <c r="R118" s="3"/>
      <c r="S118" s="3"/>
      <c r="T118" s="3"/>
      <c r="U118" s="3"/>
      <c r="V118" s="3"/>
      <c r="W118" s="3"/>
      <c r="X118" s="3"/>
      <c r="Y118" s="3"/>
      <c r="Z118" s="3"/>
      <c r="AA118" s="437" t="s">
        <v>9</v>
      </c>
      <c r="AB118" s="446">
        <v>1</v>
      </c>
      <c r="AC118" s="446"/>
      <c r="AD118" s="446">
        <v>11</v>
      </c>
      <c r="AE118" s="446"/>
      <c r="AF118" s="437"/>
      <c r="AG118" s="446">
        <v>7</v>
      </c>
      <c r="AH118" s="446"/>
      <c r="AI118" s="446">
        <v>8</v>
      </c>
      <c r="AJ118" s="446"/>
    </row>
    <row r="119" spans="2:36" hidden="1" x14ac:dyDescent="0.25">
      <c r="B119" s="106"/>
      <c r="C119" s="3"/>
      <c r="D119" s="3"/>
      <c r="E119" s="3"/>
      <c r="F119" s="3"/>
      <c r="G119" s="3"/>
      <c r="H119" s="3"/>
      <c r="I119" s="3"/>
      <c r="J119" s="3"/>
      <c r="K119" s="3"/>
      <c r="L119" s="107"/>
      <c r="N119" s="3"/>
      <c r="O119" s="3"/>
      <c r="P119" s="3"/>
      <c r="Q119" s="3"/>
      <c r="R119" s="3"/>
      <c r="S119" s="3"/>
      <c r="T119" s="3"/>
      <c r="U119" s="3"/>
      <c r="V119" s="3"/>
      <c r="W119" s="3"/>
      <c r="X119" s="3"/>
      <c r="Y119" s="3"/>
      <c r="Z119" s="3"/>
      <c r="AA119" s="437"/>
      <c r="AB119" s="437"/>
      <c r="AC119" s="437"/>
      <c r="AD119" s="437"/>
      <c r="AE119" s="437"/>
      <c r="AF119" s="437"/>
      <c r="AG119" s="437"/>
      <c r="AH119" s="437"/>
      <c r="AI119" s="437"/>
      <c r="AJ119" s="437"/>
    </row>
    <row r="120" spans="2:36" ht="18.75" hidden="1" x14ac:dyDescent="0.3">
      <c r="B120" s="6"/>
      <c r="C120" s="6"/>
      <c r="D120" s="7" t="str">
        <f>AC120</f>
        <v>C7H16</v>
      </c>
      <c r="E120" s="7"/>
      <c r="F120" s="7" t="s">
        <v>49</v>
      </c>
      <c r="G120" s="7" t="str">
        <f>AF120</f>
        <v>⟶</v>
      </c>
      <c r="H120" s="7"/>
      <c r="I120" s="7" t="s">
        <v>31</v>
      </c>
      <c r="J120" s="7"/>
      <c r="K120" s="7" t="s">
        <v>50</v>
      </c>
      <c r="L120" s="107"/>
      <c r="N120" s="3"/>
      <c r="O120" s="3"/>
      <c r="P120" s="3"/>
      <c r="Q120" s="3"/>
      <c r="R120" s="3"/>
      <c r="S120" s="3"/>
      <c r="T120" s="3"/>
      <c r="U120" s="3"/>
      <c r="V120" s="3"/>
      <c r="W120" s="3"/>
      <c r="X120" s="3"/>
      <c r="Y120" s="3"/>
      <c r="Z120" s="3"/>
      <c r="AA120" s="437"/>
      <c r="AB120" s="437">
        <v>1</v>
      </c>
      <c r="AC120" s="445" t="s">
        <v>12</v>
      </c>
      <c r="AD120" s="445">
        <v>11</v>
      </c>
      <c r="AE120" s="445" t="s">
        <v>3</v>
      </c>
      <c r="AF120" s="445" t="s">
        <v>48</v>
      </c>
      <c r="AG120" s="445">
        <v>7</v>
      </c>
      <c r="AH120" s="445" t="s">
        <v>4</v>
      </c>
      <c r="AI120" s="445">
        <v>8</v>
      </c>
      <c r="AJ120" s="445" t="s">
        <v>5</v>
      </c>
    </row>
    <row r="121" spans="2:36" ht="18.75" hidden="1" x14ac:dyDescent="0.3">
      <c r="B121" s="7" t="s">
        <v>6</v>
      </c>
      <c r="C121" s="6"/>
      <c r="D121" s="6">
        <f>AB121</f>
        <v>170</v>
      </c>
      <c r="E121" s="6" t="str">
        <f>IF(SQRT((ABS(AD121-F121))^2)/AD121&gt;0.02,"F","R")</f>
        <v>F</v>
      </c>
      <c r="F121" s="6"/>
      <c r="G121" s="6"/>
      <c r="H121" s="6" t="str">
        <f>IF(SQRT((ABS(AG121-I121))^2)/AG121&gt;0.02,"F","R")</f>
        <v>F</v>
      </c>
      <c r="I121" s="6"/>
      <c r="J121" s="6" t="str">
        <f>IF(SQRT((ABS(AI121-K121))^2)/AI121&gt;0.02,"F","R")</f>
        <v>F</v>
      </c>
      <c r="K121" s="6"/>
      <c r="L121" s="107"/>
      <c r="N121" s="3"/>
      <c r="O121" s="3"/>
      <c r="P121" s="3"/>
      <c r="Q121" s="3"/>
      <c r="R121" s="3"/>
      <c r="S121" s="3"/>
      <c r="T121" s="3"/>
      <c r="U121" s="3"/>
      <c r="V121" s="3"/>
      <c r="W121" s="3"/>
      <c r="X121" s="3"/>
      <c r="Y121" s="3"/>
      <c r="Z121" s="3"/>
      <c r="AA121" s="437" t="s">
        <v>6</v>
      </c>
      <c r="AB121" s="446">
        <v>170</v>
      </c>
      <c r="AC121" s="446"/>
      <c r="AD121" s="446">
        <v>597.21750933152362</v>
      </c>
      <c r="AE121" s="446"/>
      <c r="AF121" s="437"/>
      <c r="AG121" s="446">
        <v>522.68408551068887</v>
      </c>
      <c r="AH121" s="446"/>
      <c r="AI121" s="446">
        <v>244.53342382083474</v>
      </c>
      <c r="AJ121" s="446"/>
    </row>
    <row r="122" spans="2:36" ht="18.75" hidden="1" x14ac:dyDescent="0.3">
      <c r="B122" s="7" t="s">
        <v>7</v>
      </c>
      <c r="C122" s="6" t="str">
        <f>IF(SQRT((ABS(AB122-D122))^2)/AB122&gt;0.02,"F","R")</f>
        <v>F</v>
      </c>
      <c r="D122" s="6"/>
      <c r="E122" s="6" t="str">
        <f>IF(SQRT((ABS(AD122-F122))^2)/AD122&gt;0.02,"F","R")</f>
        <v>F</v>
      </c>
      <c r="F122" s="6"/>
      <c r="G122" s="6"/>
      <c r="H122" s="6" t="str">
        <f>IF(SQRT((ABS(AG122-I122))^2)/AG122&gt;0.02,"F","R")</f>
        <v>F</v>
      </c>
      <c r="I122" s="6"/>
      <c r="J122" s="6" t="str">
        <f>IF(SQRT((ABS(AI122-K122))^2)/AI122&gt;0.02,"F","R")</f>
        <v>F</v>
      </c>
      <c r="K122" s="6"/>
      <c r="L122" s="107"/>
      <c r="N122" s="3"/>
      <c r="O122" s="3"/>
      <c r="P122" s="3"/>
      <c r="Q122" s="3"/>
      <c r="R122" s="3"/>
      <c r="S122" s="3"/>
      <c r="T122" s="3"/>
      <c r="U122" s="3"/>
      <c r="V122" s="3"/>
      <c r="W122" s="3"/>
      <c r="X122" s="3"/>
      <c r="Y122" s="3"/>
      <c r="Z122" s="3"/>
      <c r="AA122" s="437" t="s">
        <v>7</v>
      </c>
      <c r="AB122" s="446">
        <v>100.19799999999999</v>
      </c>
      <c r="AC122" s="446"/>
      <c r="AD122" s="446">
        <v>32</v>
      </c>
      <c r="AE122" s="446"/>
      <c r="AF122" s="437"/>
      <c r="AG122" s="446">
        <v>44.01</v>
      </c>
      <c r="AH122" s="446"/>
      <c r="AI122" s="446">
        <v>18.015999999999998</v>
      </c>
      <c r="AJ122" s="446"/>
    </row>
    <row r="123" spans="2:36" ht="18.75" hidden="1" x14ac:dyDescent="0.3">
      <c r="B123" s="7" t="s">
        <v>8</v>
      </c>
      <c r="C123" s="6" t="str">
        <f>IF(SQRT((ABS(AB123-D123))^2)/AB123&gt;0.02,"F","R")</f>
        <v>F</v>
      </c>
      <c r="D123" s="6"/>
      <c r="E123" s="6" t="str">
        <f>IF(SQRT((ABS(AD123-F123))^2)/AD123&gt;0.02,"F","R")</f>
        <v>F</v>
      </c>
      <c r="F123" s="6"/>
      <c r="G123" s="6"/>
      <c r="H123" s="6" t="str">
        <f>IF(SQRT((ABS(AG123-I123))^2)/AG123&gt;0.02,"F","R")</f>
        <v>F</v>
      </c>
      <c r="I123" s="6"/>
      <c r="J123" s="6" t="str">
        <f>IF(SQRT((ABS(AI123-K123))^2)/AI123&gt;0.02,"F","R")</f>
        <v>F</v>
      </c>
      <c r="K123" s="6"/>
      <c r="L123" s="107"/>
      <c r="N123" s="3"/>
      <c r="O123" s="3"/>
      <c r="P123" s="3"/>
      <c r="Q123" s="3"/>
      <c r="R123" s="3"/>
      <c r="S123" s="3"/>
      <c r="T123" s="3"/>
      <c r="U123" s="3"/>
      <c r="V123" s="3"/>
      <c r="W123" s="3"/>
      <c r="X123" s="3"/>
      <c r="Y123" s="3"/>
      <c r="Z123" s="3"/>
      <c r="AA123" s="437" t="s">
        <v>8</v>
      </c>
      <c r="AB123" s="446">
        <v>1.6966406515100103</v>
      </c>
      <c r="AC123" s="446"/>
      <c r="AD123" s="446">
        <v>18.663047166610113</v>
      </c>
      <c r="AE123" s="446"/>
      <c r="AF123" s="437"/>
      <c r="AG123" s="446">
        <v>11.876484560570072</v>
      </c>
      <c r="AH123" s="446"/>
      <c r="AI123" s="446">
        <v>13.573125212080082</v>
      </c>
      <c r="AJ123" s="446"/>
    </row>
    <row r="124" spans="2:36" ht="18.75" hidden="1" x14ac:dyDescent="0.3">
      <c r="B124" s="7" t="s">
        <v>9</v>
      </c>
      <c r="C124" s="6" t="str">
        <f>IF(SQRT((ABS(AB124-D124))^2)/AB124&gt;0.02,"F","R")</f>
        <v>F</v>
      </c>
      <c r="D124" s="6"/>
      <c r="E124" s="6" t="str">
        <f>IF(SQRT((ABS(AD124-F124))^2)/AD124&gt;0.02,"F","R")</f>
        <v>F</v>
      </c>
      <c r="F124" s="6"/>
      <c r="G124" s="6"/>
      <c r="H124" s="6" t="str">
        <f>IF(SQRT((ABS(AG124-I124))^2)/AG124&gt;0.02,"F","R")</f>
        <v>F</v>
      </c>
      <c r="I124" s="6"/>
      <c r="J124" s="6" t="str">
        <f>IF(SQRT((ABS(AI124-K124))^2)/AI124&gt;0.02,"F","R")</f>
        <v>F</v>
      </c>
      <c r="K124" s="6"/>
      <c r="L124" s="107"/>
      <c r="N124" s="3"/>
      <c r="O124" s="3"/>
      <c r="P124" s="3"/>
      <c r="Q124" s="3"/>
      <c r="R124" s="3"/>
      <c r="S124" s="3"/>
      <c r="T124" s="3"/>
      <c r="U124" s="3"/>
      <c r="V124" s="3"/>
      <c r="W124" s="3"/>
      <c r="X124" s="3"/>
      <c r="Y124" s="3"/>
      <c r="Z124" s="3"/>
      <c r="AA124" s="437" t="s">
        <v>9</v>
      </c>
      <c r="AB124" s="446">
        <v>1</v>
      </c>
      <c r="AC124" s="446"/>
      <c r="AD124" s="446">
        <v>11</v>
      </c>
      <c r="AE124" s="446"/>
      <c r="AF124" s="437"/>
      <c r="AG124" s="446">
        <v>7</v>
      </c>
      <c r="AH124" s="446"/>
      <c r="AI124" s="446">
        <v>8</v>
      </c>
      <c r="AJ124" s="446"/>
    </row>
    <row r="125" spans="2:36" hidden="1" x14ac:dyDescent="0.25">
      <c r="B125" s="106"/>
      <c r="C125" s="3"/>
      <c r="D125" s="3"/>
      <c r="E125" s="3"/>
      <c r="F125" s="3"/>
      <c r="G125" s="3"/>
      <c r="H125" s="3"/>
      <c r="I125" s="3"/>
      <c r="J125" s="3"/>
      <c r="K125" s="3"/>
      <c r="L125" s="107"/>
      <c r="N125" s="3"/>
      <c r="O125" s="3"/>
      <c r="P125" s="3"/>
      <c r="Q125" s="3"/>
      <c r="R125" s="3"/>
      <c r="S125" s="3"/>
      <c r="T125" s="3"/>
      <c r="U125" s="3"/>
      <c r="V125" s="3"/>
      <c r="W125" s="3"/>
      <c r="X125" s="3"/>
      <c r="Y125" s="3"/>
      <c r="Z125" s="3"/>
      <c r="AA125" s="437"/>
      <c r="AB125" s="437"/>
      <c r="AC125" s="437"/>
      <c r="AD125" s="437"/>
      <c r="AE125" s="437"/>
      <c r="AF125" s="437"/>
      <c r="AG125" s="437"/>
      <c r="AH125" s="437"/>
      <c r="AI125" s="437"/>
      <c r="AJ125" s="437"/>
    </row>
    <row r="126" spans="2:36" ht="18.75" hidden="1" x14ac:dyDescent="0.3">
      <c r="B126" s="6"/>
      <c r="C126" s="6"/>
      <c r="D126" s="7" t="str">
        <f>AC126</f>
        <v>C14H30</v>
      </c>
      <c r="E126" s="7"/>
      <c r="F126" s="7" t="s">
        <v>49</v>
      </c>
      <c r="G126" s="7" t="str">
        <f>AF126</f>
        <v>⟶</v>
      </c>
      <c r="H126" s="7"/>
      <c r="I126" s="7" t="s">
        <v>31</v>
      </c>
      <c r="J126" s="7"/>
      <c r="K126" s="7" t="s">
        <v>50</v>
      </c>
      <c r="L126" s="107"/>
      <c r="N126" s="3"/>
      <c r="O126" s="3"/>
      <c r="P126" s="3"/>
      <c r="Q126" s="3"/>
      <c r="R126" s="3"/>
      <c r="S126" s="3"/>
      <c r="T126" s="3"/>
      <c r="U126" s="3"/>
      <c r="V126" s="3"/>
      <c r="W126" s="3"/>
      <c r="X126" s="3"/>
      <c r="Y126" s="3"/>
      <c r="Z126" s="3"/>
      <c r="AA126" s="437"/>
      <c r="AB126" s="437">
        <v>2</v>
      </c>
      <c r="AC126" s="445" t="s">
        <v>19</v>
      </c>
      <c r="AD126" s="445">
        <v>43</v>
      </c>
      <c r="AE126" s="445" t="s">
        <v>3</v>
      </c>
      <c r="AF126" s="445" t="s">
        <v>48</v>
      </c>
      <c r="AG126" s="445">
        <v>28</v>
      </c>
      <c r="AH126" s="445" t="s">
        <v>4</v>
      </c>
      <c r="AI126" s="445">
        <v>30</v>
      </c>
      <c r="AJ126" s="445" t="s">
        <v>5</v>
      </c>
    </row>
    <row r="127" spans="2:36" ht="18.75" hidden="1" x14ac:dyDescent="0.3">
      <c r="B127" s="7" t="s">
        <v>6</v>
      </c>
      <c r="C127" s="6"/>
      <c r="D127" s="6">
        <f>AB127</f>
        <v>160</v>
      </c>
      <c r="E127" s="6" t="str">
        <f>IF(SQRT((ABS(AD127-F127))^2)/AD127&gt;0.02,"F","R")</f>
        <v>F</v>
      </c>
      <c r="F127" s="6"/>
      <c r="G127" s="6"/>
      <c r="H127" s="6" t="str">
        <f>IF(SQRT((ABS(AG127-I127))^2)/AG127&gt;0.02,"F","R")</f>
        <v>F</v>
      </c>
      <c r="I127" s="6"/>
      <c r="J127" s="6" t="str">
        <f>IF(SQRT((ABS(AI127-K127))^2)/AI127&gt;0.02,"F","R")</f>
        <v>F</v>
      </c>
      <c r="K127" s="6"/>
      <c r="L127" s="107"/>
      <c r="N127" s="3"/>
      <c r="O127" s="3"/>
      <c r="P127" s="3"/>
      <c r="Q127" s="3"/>
      <c r="R127" s="3"/>
      <c r="S127" s="3"/>
      <c r="T127" s="3"/>
      <c r="U127" s="3"/>
      <c r="V127" s="3"/>
      <c r="W127" s="3"/>
      <c r="X127" s="3"/>
      <c r="Y127" s="3"/>
      <c r="Z127" s="3"/>
      <c r="AA127" s="437" t="s">
        <v>6</v>
      </c>
      <c r="AB127" s="446">
        <v>160</v>
      </c>
      <c r="AC127" s="446"/>
      <c r="AD127" s="446">
        <v>554.89464663776596</v>
      </c>
      <c r="AE127" s="446"/>
      <c r="AF127" s="437"/>
      <c r="AG127" s="446">
        <v>496.93719124911786</v>
      </c>
      <c r="AH127" s="446"/>
      <c r="AI127" s="446">
        <v>217.95745538864804</v>
      </c>
      <c r="AJ127" s="446"/>
    </row>
    <row r="128" spans="2:36" ht="18.75" hidden="1" x14ac:dyDescent="0.3">
      <c r="B128" s="7" t="s">
        <v>7</v>
      </c>
      <c r="C128" s="6" t="str">
        <f>IF(SQRT((ABS(AB128-D128))^2)/AB128&gt;0.02,"F","R")</f>
        <v>F</v>
      </c>
      <c r="D128" s="6"/>
      <c r="E128" s="6" t="str">
        <f>IF(SQRT((ABS(AD128-F128))^2)/AD128&gt;0.02,"F","R")</f>
        <v>F</v>
      </c>
      <c r="F128" s="6"/>
      <c r="G128" s="6"/>
      <c r="H128" s="6" t="str">
        <f>IF(SQRT((ABS(AG128-I128))^2)/AG128&gt;0.02,"F","R")</f>
        <v>F</v>
      </c>
      <c r="I128" s="6"/>
      <c r="J128" s="6" t="str">
        <f>IF(SQRT((ABS(AI128-K128))^2)/AI128&gt;0.02,"F","R")</f>
        <v>F</v>
      </c>
      <c r="K128" s="6"/>
      <c r="L128" s="107"/>
      <c r="N128" s="3"/>
      <c r="O128" s="3"/>
      <c r="P128" s="3"/>
      <c r="Q128" s="3"/>
      <c r="R128" s="3"/>
      <c r="S128" s="3"/>
      <c r="T128" s="3"/>
      <c r="U128" s="3"/>
      <c r="V128" s="3"/>
      <c r="W128" s="3"/>
      <c r="X128" s="3"/>
      <c r="Y128" s="3"/>
      <c r="Z128" s="3"/>
      <c r="AA128" s="437" t="s">
        <v>7</v>
      </c>
      <c r="AB128" s="446">
        <v>198.38</v>
      </c>
      <c r="AC128" s="446"/>
      <c r="AD128" s="446">
        <v>32</v>
      </c>
      <c r="AE128" s="446"/>
      <c r="AF128" s="437"/>
      <c r="AG128" s="446">
        <v>44.01</v>
      </c>
      <c r="AH128" s="446"/>
      <c r="AI128" s="446">
        <v>18.015999999999998</v>
      </c>
      <c r="AJ128" s="446"/>
    </row>
    <row r="129" spans="2:36" ht="18.75" hidden="1" x14ac:dyDescent="0.3">
      <c r="B129" s="7" t="s">
        <v>8</v>
      </c>
      <c r="C129" s="6" t="str">
        <f>IF(SQRT((ABS(AB129-D129))^2)/AB129&gt;0.02,"F","R")</f>
        <v>F</v>
      </c>
      <c r="D129" s="6"/>
      <c r="E129" s="6" t="str">
        <f>IF(SQRT((ABS(AD129-F129))^2)/AD129&gt;0.02,"F","R")</f>
        <v>F</v>
      </c>
      <c r="F129" s="6"/>
      <c r="G129" s="6"/>
      <c r="H129" s="6" t="str">
        <f>IF(SQRT((ABS(AG129-I129))^2)/AG129&gt;0.02,"F","R")</f>
        <v>F</v>
      </c>
      <c r="I129" s="6"/>
      <c r="J129" s="6" t="str">
        <f>IF(SQRT((ABS(AI129-K129))^2)/AI129&gt;0.02,"F","R")</f>
        <v>F</v>
      </c>
      <c r="K129" s="6"/>
      <c r="L129" s="107"/>
      <c r="N129" s="3"/>
      <c r="O129" s="3"/>
      <c r="P129" s="3"/>
      <c r="Q129" s="3"/>
      <c r="R129" s="3"/>
      <c r="S129" s="3"/>
      <c r="T129" s="3"/>
      <c r="U129" s="3"/>
      <c r="V129" s="3"/>
      <c r="W129" s="3"/>
      <c r="X129" s="3"/>
      <c r="Y129" s="3"/>
      <c r="Z129" s="3"/>
      <c r="AA129" s="437" t="s">
        <v>8</v>
      </c>
      <c r="AB129" s="446">
        <v>0.80653291662465976</v>
      </c>
      <c r="AC129" s="446"/>
      <c r="AD129" s="446">
        <v>17.340457707430186</v>
      </c>
      <c r="AE129" s="446"/>
      <c r="AF129" s="437"/>
      <c r="AG129" s="446">
        <v>11.291460832745237</v>
      </c>
      <c r="AH129" s="446"/>
      <c r="AI129" s="446">
        <v>12.097993749369897</v>
      </c>
      <c r="AJ129" s="446"/>
    </row>
    <row r="130" spans="2:36" ht="18.75" hidden="1" x14ac:dyDescent="0.3">
      <c r="B130" s="7" t="s">
        <v>9</v>
      </c>
      <c r="C130" s="6" t="str">
        <f>IF(SQRT((ABS(AB130-D130))^2)/AB130&gt;0.02,"F","R")</f>
        <v>F</v>
      </c>
      <c r="D130" s="6"/>
      <c r="E130" s="6" t="str">
        <f>IF(SQRT((ABS(AD130-F130))^2)/AD130&gt;0.02,"F","R")</f>
        <v>F</v>
      </c>
      <c r="F130" s="6"/>
      <c r="G130" s="6"/>
      <c r="H130" s="6" t="str">
        <f>IF(SQRT((ABS(AG130-I130))^2)/AG130&gt;0.02,"F","R")</f>
        <v>F</v>
      </c>
      <c r="I130" s="6"/>
      <c r="J130" s="6" t="str">
        <f>IF(SQRT((ABS(AI130-K130))^2)/AI130&gt;0.02,"F","R")</f>
        <v>F</v>
      </c>
      <c r="K130" s="6"/>
      <c r="L130" s="107"/>
      <c r="N130" s="3"/>
      <c r="O130" s="3"/>
      <c r="P130" s="3"/>
      <c r="Q130" s="3"/>
      <c r="R130" s="3"/>
      <c r="S130" s="3"/>
      <c r="T130" s="3"/>
      <c r="U130" s="3"/>
      <c r="V130" s="3"/>
      <c r="W130" s="3"/>
      <c r="X130" s="3"/>
      <c r="Y130" s="3"/>
      <c r="Z130" s="3"/>
      <c r="AA130" s="437" t="s">
        <v>9</v>
      </c>
      <c r="AB130" s="446">
        <v>2</v>
      </c>
      <c r="AC130" s="446"/>
      <c r="AD130" s="446">
        <v>43</v>
      </c>
      <c r="AE130" s="446"/>
      <c r="AF130" s="437"/>
      <c r="AG130" s="446">
        <v>28</v>
      </c>
      <c r="AH130" s="446"/>
      <c r="AI130" s="446">
        <v>30</v>
      </c>
      <c r="AJ130" s="446"/>
    </row>
    <row r="131" spans="2:36" hidden="1" x14ac:dyDescent="0.25">
      <c r="B131" s="106"/>
      <c r="C131" s="3"/>
      <c r="D131" s="3"/>
      <c r="E131" s="3"/>
      <c r="F131" s="3"/>
      <c r="G131" s="3"/>
      <c r="H131" s="3"/>
      <c r="I131" s="3"/>
      <c r="J131" s="3"/>
      <c r="K131" s="3"/>
      <c r="L131" s="107"/>
      <c r="N131" s="3"/>
      <c r="O131" s="3"/>
      <c r="P131" s="3"/>
      <c r="Q131" s="3"/>
      <c r="R131" s="3"/>
      <c r="S131" s="3"/>
      <c r="T131" s="3"/>
      <c r="U131" s="3"/>
      <c r="V131" s="3"/>
      <c r="W131" s="3"/>
      <c r="X131" s="3"/>
      <c r="Y131" s="3"/>
      <c r="Z131" s="3"/>
      <c r="AA131" s="437"/>
      <c r="AB131" s="437"/>
      <c r="AC131" s="437"/>
      <c r="AD131" s="437"/>
      <c r="AE131" s="437"/>
      <c r="AF131" s="437"/>
      <c r="AG131" s="437"/>
      <c r="AH131" s="437"/>
      <c r="AI131" s="437"/>
      <c r="AJ131" s="437"/>
    </row>
    <row r="132" spans="2:36" ht="18.75" hidden="1" x14ac:dyDescent="0.3">
      <c r="B132" s="6"/>
      <c r="C132" s="6"/>
      <c r="D132" s="7" t="str">
        <f>AC132</f>
        <v>C3H7OH</v>
      </c>
      <c r="E132" s="7"/>
      <c r="F132" s="7" t="s">
        <v>49</v>
      </c>
      <c r="G132" s="7" t="str">
        <f>AF132</f>
        <v>⟶</v>
      </c>
      <c r="H132" s="7"/>
      <c r="I132" s="7" t="s">
        <v>31</v>
      </c>
      <c r="J132" s="7"/>
      <c r="K132" s="7" t="s">
        <v>50</v>
      </c>
      <c r="L132" s="107"/>
      <c r="N132" s="3"/>
      <c r="O132" s="3"/>
      <c r="P132" s="3"/>
      <c r="Q132" s="3"/>
      <c r="R132" s="3"/>
      <c r="S132" s="3"/>
      <c r="T132" s="3"/>
      <c r="U132" s="3"/>
      <c r="V132" s="3"/>
      <c r="W132" s="3"/>
      <c r="X132" s="3"/>
      <c r="Y132" s="3"/>
      <c r="Z132" s="3"/>
      <c r="AA132" s="437"/>
      <c r="AB132" s="437">
        <v>2</v>
      </c>
      <c r="AC132" s="445" t="s">
        <v>15</v>
      </c>
      <c r="AD132" s="445">
        <v>9</v>
      </c>
      <c r="AE132" s="445" t="s">
        <v>3</v>
      </c>
      <c r="AF132" s="445" t="s">
        <v>48</v>
      </c>
      <c r="AG132" s="445">
        <v>6</v>
      </c>
      <c r="AH132" s="445" t="s">
        <v>4</v>
      </c>
      <c r="AI132" s="445">
        <v>8</v>
      </c>
      <c r="AJ132" s="445" t="s">
        <v>5</v>
      </c>
    </row>
    <row r="133" spans="2:36" ht="18.75" hidden="1" x14ac:dyDescent="0.3">
      <c r="B133" s="7" t="s">
        <v>6</v>
      </c>
      <c r="C133" s="6"/>
      <c r="D133" s="6">
        <f>AB133</f>
        <v>144</v>
      </c>
      <c r="E133" s="6" t="str">
        <f>IF(SQRT((ABS(AD133-F133))^2)/AD133&gt;0.02,"F","R")</f>
        <v>F</v>
      </c>
      <c r="F133" s="6"/>
      <c r="G133" s="6"/>
      <c r="H133" s="6" t="str">
        <f>IF(SQRT((ABS(AG133-I133))^2)/AG133&gt;0.02,"F","R")</f>
        <v>F</v>
      </c>
      <c r="I133" s="6"/>
      <c r="J133" s="6" t="str">
        <f>IF(SQRT((ABS(AI133-K133))^2)/AI133&gt;0.02,"F","R")</f>
        <v>F</v>
      </c>
      <c r="K133" s="6"/>
      <c r="L133" s="107"/>
      <c r="N133" s="3"/>
      <c r="O133" s="3"/>
      <c r="P133" s="3"/>
      <c r="Q133" s="3"/>
      <c r="R133" s="3"/>
      <c r="S133" s="3"/>
      <c r="T133" s="3"/>
      <c r="U133" s="3"/>
      <c r="V133" s="3"/>
      <c r="W133" s="3"/>
      <c r="X133" s="3"/>
      <c r="Y133" s="3"/>
      <c r="Z133" s="3"/>
      <c r="AA133" s="437" t="s">
        <v>6</v>
      </c>
      <c r="AB133" s="446">
        <v>144</v>
      </c>
      <c r="AC133" s="446"/>
      <c r="AD133" s="446">
        <v>345.0594069291443</v>
      </c>
      <c r="AE133" s="446"/>
      <c r="AF133" s="437"/>
      <c r="AG133" s="446">
        <v>316.37634372815921</v>
      </c>
      <c r="AH133" s="446"/>
      <c r="AI133" s="446">
        <v>172.68306320098509</v>
      </c>
      <c r="AJ133" s="446"/>
    </row>
    <row r="134" spans="2:36" ht="18.75" hidden="1" x14ac:dyDescent="0.3">
      <c r="B134" s="7" t="s">
        <v>7</v>
      </c>
      <c r="C134" s="6" t="str">
        <f>IF(SQRT((ABS(AB134-D134))^2)/AB134&gt;0.02,"F","R")</f>
        <v>F</v>
      </c>
      <c r="D134" s="6"/>
      <c r="E134" s="6" t="str">
        <f>IF(SQRT((ABS(AD134-F134))^2)/AD134&gt;0.02,"F","R")</f>
        <v>F</v>
      </c>
      <c r="F134" s="6"/>
      <c r="G134" s="6"/>
      <c r="H134" s="6" t="str">
        <f>IF(SQRT((ABS(AG134-I134))^2)/AG134&gt;0.02,"F","R")</f>
        <v>F</v>
      </c>
      <c r="I134" s="6"/>
      <c r="J134" s="6" t="str">
        <f>IF(SQRT((ABS(AI134-K134))^2)/AI134&gt;0.02,"F","R")</f>
        <v>F</v>
      </c>
      <c r="K134" s="6"/>
      <c r="L134" s="107"/>
      <c r="N134" s="3"/>
      <c r="O134" s="3"/>
      <c r="P134" s="3"/>
      <c r="Q134" s="3"/>
      <c r="R134" s="3"/>
      <c r="S134" s="3"/>
      <c r="T134" s="3"/>
      <c r="U134" s="3"/>
      <c r="V134" s="3"/>
      <c r="W134" s="3"/>
      <c r="X134" s="3"/>
      <c r="Y134" s="3"/>
      <c r="Z134" s="3"/>
      <c r="AA134" s="437" t="s">
        <v>7</v>
      </c>
      <c r="AB134" s="446">
        <v>60.094000000000001</v>
      </c>
      <c r="AC134" s="446"/>
      <c r="AD134" s="446">
        <v>32</v>
      </c>
      <c r="AE134" s="446"/>
      <c r="AF134" s="437"/>
      <c r="AG134" s="446">
        <v>44.01</v>
      </c>
      <c r="AH134" s="446"/>
      <c r="AI134" s="446">
        <v>18.015999999999998</v>
      </c>
      <c r="AJ134" s="446"/>
    </row>
    <row r="135" spans="2:36" ht="18.75" hidden="1" x14ac:dyDescent="0.3">
      <c r="B135" s="7" t="s">
        <v>8</v>
      </c>
      <c r="C135" s="6" t="str">
        <f>IF(SQRT((ABS(AB135-D135))^2)/AB135&gt;0.02,"F","R")</f>
        <v>F</v>
      </c>
      <c r="D135" s="6"/>
      <c r="E135" s="6" t="str">
        <f>IF(SQRT((ABS(AD135-F135))^2)/AD135&gt;0.02,"F","R")</f>
        <v>F</v>
      </c>
      <c r="F135" s="6"/>
      <c r="G135" s="6"/>
      <c r="H135" s="6" t="str">
        <f>IF(SQRT((ABS(AG135-I135))^2)/AG135&gt;0.02,"F","R")</f>
        <v>F</v>
      </c>
      <c r="I135" s="6"/>
      <c r="J135" s="6" t="str">
        <f>IF(SQRT((ABS(AI135-K135))^2)/AI135&gt;0.02,"F","R")</f>
        <v>F</v>
      </c>
      <c r="K135" s="6"/>
      <c r="L135" s="107"/>
      <c r="N135" s="3"/>
      <c r="O135" s="3"/>
      <c r="P135" s="3"/>
      <c r="Q135" s="3"/>
      <c r="R135" s="3"/>
      <c r="S135" s="3"/>
      <c r="T135" s="3"/>
      <c r="U135" s="3"/>
      <c r="V135" s="3"/>
      <c r="W135" s="3"/>
      <c r="X135" s="3"/>
      <c r="Y135" s="3"/>
      <c r="Z135" s="3"/>
      <c r="AA135" s="437" t="s">
        <v>8</v>
      </c>
      <c r="AB135" s="446">
        <v>2.396245881452391</v>
      </c>
      <c r="AC135" s="446"/>
      <c r="AD135" s="446">
        <v>10.783106466535759</v>
      </c>
      <c r="AE135" s="446"/>
      <c r="AF135" s="437"/>
      <c r="AG135" s="446">
        <v>7.1887376443571736</v>
      </c>
      <c r="AH135" s="446"/>
      <c r="AI135" s="446">
        <v>9.5849835258095641</v>
      </c>
      <c r="AJ135" s="446"/>
    </row>
    <row r="136" spans="2:36" ht="18.75" hidden="1" x14ac:dyDescent="0.3">
      <c r="B136" s="7" t="s">
        <v>9</v>
      </c>
      <c r="C136" s="6" t="str">
        <f>IF(SQRT((ABS(AB136-D136))^2)/AB136&gt;0.02,"F","R")</f>
        <v>F</v>
      </c>
      <c r="D136" s="6"/>
      <c r="E136" s="6" t="str">
        <f>IF(SQRT((ABS(AD136-F136))^2)/AD136&gt;0.02,"F","R")</f>
        <v>F</v>
      </c>
      <c r="F136" s="6"/>
      <c r="G136" s="6"/>
      <c r="H136" s="6" t="str">
        <f>IF(SQRT((ABS(AG136-I136))^2)/AG136&gt;0.02,"F","R")</f>
        <v>F</v>
      </c>
      <c r="I136" s="6"/>
      <c r="J136" s="6" t="str">
        <f>IF(SQRT((ABS(AI136-K136))^2)/AI136&gt;0.02,"F","R")</f>
        <v>F</v>
      </c>
      <c r="K136" s="6"/>
      <c r="L136" s="107"/>
      <c r="N136" s="3"/>
      <c r="O136" s="3"/>
      <c r="P136" s="3"/>
      <c r="Q136" s="3"/>
      <c r="R136" s="3"/>
      <c r="S136" s="3"/>
      <c r="T136" s="3"/>
      <c r="U136" s="3"/>
      <c r="V136" s="3"/>
      <c r="W136" s="3"/>
      <c r="X136" s="3"/>
      <c r="Y136" s="3"/>
      <c r="Z136" s="3"/>
      <c r="AA136" s="437" t="s">
        <v>9</v>
      </c>
      <c r="AB136" s="446">
        <v>2</v>
      </c>
      <c r="AC136" s="446"/>
      <c r="AD136" s="446">
        <v>9</v>
      </c>
      <c r="AE136" s="446"/>
      <c r="AF136" s="437"/>
      <c r="AG136" s="446">
        <v>6</v>
      </c>
      <c r="AH136" s="446"/>
      <c r="AI136" s="446">
        <v>8</v>
      </c>
      <c r="AJ136" s="446"/>
    </row>
    <row r="137" spans="2:36" hidden="1" x14ac:dyDescent="0.25">
      <c r="B137" s="106"/>
      <c r="C137" s="3"/>
      <c r="D137" s="3"/>
      <c r="E137" s="3"/>
      <c r="F137" s="3"/>
      <c r="G137" s="3"/>
      <c r="H137" s="3"/>
      <c r="I137" s="3"/>
      <c r="J137" s="3"/>
      <c r="K137" s="3"/>
      <c r="L137" s="107"/>
      <c r="N137" s="3"/>
      <c r="O137" s="3"/>
      <c r="P137" s="3"/>
      <c r="Q137" s="3"/>
      <c r="R137" s="3"/>
      <c r="S137" s="3"/>
      <c r="T137" s="3"/>
      <c r="U137" s="3"/>
      <c r="V137" s="3"/>
      <c r="W137" s="3"/>
      <c r="X137" s="3"/>
      <c r="Y137" s="3"/>
      <c r="Z137" s="3"/>
      <c r="AA137" s="437"/>
      <c r="AB137" s="437"/>
      <c r="AC137" s="437"/>
      <c r="AD137" s="437"/>
      <c r="AE137" s="437"/>
      <c r="AF137" s="437"/>
      <c r="AG137" s="437"/>
      <c r="AH137" s="437"/>
      <c r="AI137" s="437"/>
      <c r="AJ137" s="437"/>
    </row>
    <row r="138" spans="2:36" ht="18.75" hidden="1" x14ac:dyDescent="0.3">
      <c r="B138" s="6"/>
      <c r="C138" s="6"/>
      <c r="D138" s="7" t="str">
        <f>AC138</f>
        <v>C8H18</v>
      </c>
      <c r="E138" s="7"/>
      <c r="F138" s="7" t="s">
        <v>49</v>
      </c>
      <c r="G138" s="7" t="str">
        <f>AF138</f>
        <v>⟶</v>
      </c>
      <c r="H138" s="7"/>
      <c r="I138" s="7" t="s">
        <v>31</v>
      </c>
      <c r="J138" s="7"/>
      <c r="K138" s="7" t="s">
        <v>50</v>
      </c>
      <c r="L138" s="107"/>
      <c r="N138" s="3"/>
      <c r="O138" s="3"/>
      <c r="P138" s="3"/>
      <c r="Q138" s="3"/>
      <c r="R138" s="3"/>
      <c r="S138" s="3"/>
      <c r="T138" s="3"/>
      <c r="U138" s="3"/>
      <c r="V138" s="3"/>
      <c r="W138" s="3"/>
      <c r="X138" s="3"/>
      <c r="Y138" s="3"/>
      <c r="Z138" s="3"/>
      <c r="AA138" s="437"/>
      <c r="AB138" s="437">
        <v>2</v>
      </c>
      <c r="AC138" s="445" t="s">
        <v>13</v>
      </c>
      <c r="AD138" s="445">
        <v>25</v>
      </c>
      <c r="AE138" s="445" t="s">
        <v>3</v>
      </c>
      <c r="AF138" s="445" t="s">
        <v>48</v>
      </c>
      <c r="AG138" s="445">
        <v>16</v>
      </c>
      <c r="AH138" s="445" t="s">
        <v>4</v>
      </c>
      <c r="AI138" s="445">
        <v>18</v>
      </c>
      <c r="AJ138" s="445" t="s">
        <v>5</v>
      </c>
    </row>
    <row r="139" spans="2:36" ht="18.75" hidden="1" x14ac:dyDescent="0.3">
      <c r="B139" s="7" t="s">
        <v>6</v>
      </c>
      <c r="C139" s="6"/>
      <c r="D139" s="6">
        <f>AB139</f>
        <v>241</v>
      </c>
      <c r="E139" s="6" t="str">
        <f>IF(SQRT((ABS(AD139-F139))^2)/AD139&gt;0.02,"F","R")</f>
        <v>F</v>
      </c>
      <c r="F139" s="6"/>
      <c r="G139" s="6"/>
      <c r="H139" s="6" t="str">
        <f>IF(SQRT((ABS(AG139-I139))^2)/AG139&gt;0.02,"F","R")</f>
        <v>F</v>
      </c>
      <c r="I139" s="6"/>
      <c r="J139" s="6" t="str">
        <f>IF(SQRT((ABS(AI139-K139))^2)/AI139&gt;0.02,"F","R")</f>
        <v>F</v>
      </c>
      <c r="K139" s="6"/>
      <c r="L139" s="107"/>
      <c r="N139" s="3"/>
      <c r="O139" s="3"/>
      <c r="P139" s="3"/>
      <c r="Q139" s="3"/>
      <c r="R139" s="3"/>
      <c r="S139" s="3"/>
      <c r="T139" s="3"/>
      <c r="U139" s="3"/>
      <c r="V139" s="3"/>
      <c r="W139" s="3"/>
      <c r="X139" s="3"/>
      <c r="Y139" s="3"/>
      <c r="Z139" s="3"/>
      <c r="AA139" s="437" t="s">
        <v>6</v>
      </c>
      <c r="AB139" s="446">
        <v>241</v>
      </c>
      <c r="AC139" s="446"/>
      <c r="AD139" s="446">
        <v>843.95573609749272</v>
      </c>
      <c r="AE139" s="446"/>
      <c r="AF139" s="437"/>
      <c r="AG139" s="446">
        <v>742.84983891301306</v>
      </c>
      <c r="AH139" s="446"/>
      <c r="AI139" s="446">
        <v>342.1058971844796</v>
      </c>
      <c r="AJ139" s="446"/>
    </row>
    <row r="140" spans="2:36" ht="18.75" hidden="1" x14ac:dyDescent="0.3">
      <c r="B140" s="7" t="s">
        <v>7</v>
      </c>
      <c r="C140" s="6" t="str">
        <f>IF(SQRT((ABS(AB140-D140))^2)/AB140&gt;0.02,"F","R")</f>
        <v>F</v>
      </c>
      <c r="D140" s="6"/>
      <c r="E140" s="6" t="str">
        <f>IF(SQRT((ABS(AD140-F140))^2)/AD140&gt;0.02,"F","R")</f>
        <v>F</v>
      </c>
      <c r="F140" s="6"/>
      <c r="G140" s="6"/>
      <c r="H140" s="6" t="str">
        <f>IF(SQRT((ABS(AG140-I140))^2)/AG140&gt;0.02,"F","R")</f>
        <v>F</v>
      </c>
      <c r="I140" s="6"/>
      <c r="J140" s="6" t="str">
        <f>IF(SQRT((ABS(AI140-K140))^2)/AI140&gt;0.02,"F","R")</f>
        <v>F</v>
      </c>
      <c r="K140" s="6"/>
      <c r="L140" s="107"/>
      <c r="N140" s="3"/>
      <c r="O140" s="3"/>
      <c r="P140" s="3"/>
      <c r="Q140" s="3"/>
      <c r="R140" s="3"/>
      <c r="S140" s="3"/>
      <c r="T140" s="3"/>
      <c r="U140" s="3"/>
      <c r="V140" s="3"/>
      <c r="W140" s="3"/>
      <c r="X140" s="3"/>
      <c r="Y140" s="3"/>
      <c r="Z140" s="3"/>
      <c r="AA140" s="437" t="s">
        <v>7</v>
      </c>
      <c r="AB140" s="446">
        <v>114.22399999999999</v>
      </c>
      <c r="AC140" s="446"/>
      <c r="AD140" s="446">
        <v>32</v>
      </c>
      <c r="AE140" s="446"/>
      <c r="AF140" s="437"/>
      <c r="AG140" s="446">
        <v>44.01</v>
      </c>
      <c r="AH140" s="446"/>
      <c r="AI140" s="446">
        <v>18.015999999999998</v>
      </c>
      <c r="AJ140" s="446"/>
    </row>
    <row r="141" spans="2:36" ht="18.75" hidden="1" x14ac:dyDescent="0.3">
      <c r="B141" s="7" t="s">
        <v>8</v>
      </c>
      <c r="C141" s="6" t="str">
        <f>IF(SQRT((ABS(AB141-D141))^2)/AB141&gt;0.02,"F","R")</f>
        <v>F</v>
      </c>
      <c r="D141" s="6"/>
      <c r="E141" s="6" t="str">
        <f>IF(SQRT((ABS(AD141-F141))^2)/AD141&gt;0.02,"F","R")</f>
        <v>F</v>
      </c>
      <c r="F141" s="6"/>
      <c r="G141" s="6"/>
      <c r="H141" s="6" t="str">
        <f>IF(SQRT((ABS(AG141-I141))^2)/AG141&gt;0.02,"F","R")</f>
        <v>F</v>
      </c>
      <c r="I141" s="6"/>
      <c r="J141" s="6" t="str">
        <f>IF(SQRT((ABS(AI141-K141))^2)/AI141&gt;0.02,"F","R")</f>
        <v>F</v>
      </c>
      <c r="K141" s="6"/>
      <c r="L141" s="107"/>
      <c r="N141" s="3"/>
      <c r="O141" s="3"/>
      <c r="P141" s="3"/>
      <c r="Q141" s="3"/>
      <c r="R141" s="3"/>
      <c r="S141" s="3"/>
      <c r="T141" s="3"/>
      <c r="U141" s="3"/>
      <c r="V141" s="3"/>
      <c r="W141" s="3"/>
      <c r="X141" s="3"/>
      <c r="Y141" s="3"/>
      <c r="Z141" s="3"/>
      <c r="AA141" s="437" t="s">
        <v>8</v>
      </c>
      <c r="AB141" s="446">
        <v>2.1098893402437318</v>
      </c>
      <c r="AC141" s="446"/>
      <c r="AD141" s="446">
        <v>26.373616753046647</v>
      </c>
      <c r="AE141" s="446"/>
      <c r="AF141" s="437"/>
      <c r="AG141" s="446">
        <v>16.879114721949854</v>
      </c>
      <c r="AH141" s="446"/>
      <c r="AI141" s="446">
        <v>18.989004062193587</v>
      </c>
      <c r="AJ141" s="446"/>
    </row>
    <row r="142" spans="2:36" ht="18.75" hidden="1" x14ac:dyDescent="0.3">
      <c r="B142" s="7" t="s">
        <v>9</v>
      </c>
      <c r="C142" s="6" t="str">
        <f>IF(SQRT((ABS(AB142-D142))^2)/AB142&gt;0.02,"F","R")</f>
        <v>F</v>
      </c>
      <c r="D142" s="6"/>
      <c r="E142" s="6" t="str">
        <f>IF(SQRT((ABS(AD142-F142))^2)/AD142&gt;0.02,"F","R")</f>
        <v>F</v>
      </c>
      <c r="F142" s="6"/>
      <c r="G142" s="6"/>
      <c r="H142" s="6" t="str">
        <f>IF(SQRT((ABS(AG142-I142))^2)/AG142&gt;0.02,"F","R")</f>
        <v>F</v>
      </c>
      <c r="I142" s="6"/>
      <c r="J142" s="6" t="str">
        <f>IF(SQRT((ABS(AI142-K142))^2)/AI142&gt;0.02,"F","R")</f>
        <v>F</v>
      </c>
      <c r="K142" s="6"/>
      <c r="L142" s="107"/>
      <c r="N142" s="3"/>
      <c r="O142" s="3"/>
      <c r="P142" s="3"/>
      <c r="Q142" s="3"/>
      <c r="R142" s="3"/>
      <c r="S142" s="3"/>
      <c r="T142" s="3"/>
      <c r="U142" s="3"/>
      <c r="V142" s="3"/>
      <c r="W142" s="3"/>
      <c r="X142" s="3"/>
      <c r="Y142" s="3"/>
      <c r="Z142" s="3"/>
      <c r="AA142" s="437" t="s">
        <v>9</v>
      </c>
      <c r="AB142" s="446">
        <v>2</v>
      </c>
      <c r="AC142" s="446"/>
      <c r="AD142" s="446">
        <v>25</v>
      </c>
      <c r="AE142" s="446"/>
      <c r="AF142" s="437"/>
      <c r="AG142" s="446">
        <v>16</v>
      </c>
      <c r="AH142" s="446"/>
      <c r="AI142" s="446">
        <v>18</v>
      </c>
      <c r="AJ142" s="446"/>
    </row>
    <row r="143" spans="2:36" hidden="1" x14ac:dyDescent="0.25">
      <c r="B143" s="106"/>
      <c r="C143" s="3"/>
      <c r="D143" s="3"/>
      <c r="E143" s="3"/>
      <c r="F143" s="3"/>
      <c r="G143" s="3"/>
      <c r="H143" s="3"/>
      <c r="I143" s="3"/>
      <c r="J143" s="3"/>
      <c r="K143" s="3"/>
      <c r="L143" s="107"/>
      <c r="N143" s="3"/>
      <c r="O143" s="3"/>
      <c r="P143" s="3"/>
      <c r="Q143" s="3"/>
      <c r="R143" s="3"/>
      <c r="S143" s="3"/>
      <c r="T143" s="3"/>
      <c r="U143" s="3"/>
      <c r="V143" s="3"/>
      <c r="W143" s="3"/>
      <c r="X143" s="3"/>
      <c r="Y143" s="3"/>
      <c r="Z143" s="3"/>
      <c r="AA143" s="437"/>
      <c r="AB143" s="437"/>
      <c r="AC143" s="437"/>
      <c r="AD143" s="437"/>
      <c r="AE143" s="437"/>
      <c r="AF143" s="437"/>
      <c r="AG143" s="437"/>
      <c r="AH143" s="437"/>
      <c r="AI143" s="437"/>
      <c r="AJ143" s="437"/>
    </row>
    <row r="144" spans="2:36" ht="18.75" hidden="1" x14ac:dyDescent="0.3">
      <c r="B144" s="6"/>
      <c r="C144" s="6"/>
      <c r="D144" s="7" t="str">
        <f>AC144</f>
        <v>C2H6</v>
      </c>
      <c r="E144" s="7"/>
      <c r="F144" s="7" t="s">
        <v>49</v>
      </c>
      <c r="G144" s="7" t="str">
        <f>AF144</f>
        <v>⟶</v>
      </c>
      <c r="H144" s="7"/>
      <c r="I144" s="7" t="s">
        <v>31</v>
      </c>
      <c r="J144" s="7"/>
      <c r="K144" s="7" t="s">
        <v>50</v>
      </c>
      <c r="L144" s="107"/>
      <c r="N144" s="3"/>
      <c r="O144" s="3"/>
      <c r="P144" s="3"/>
      <c r="Q144" s="3"/>
      <c r="R144" s="3"/>
      <c r="S144" s="3"/>
      <c r="T144" s="3"/>
      <c r="U144" s="3"/>
      <c r="V144" s="3"/>
      <c r="W144" s="3"/>
      <c r="X144" s="3"/>
      <c r="Y144" s="3"/>
      <c r="Z144" s="3"/>
      <c r="AA144" s="437"/>
      <c r="AB144" s="437">
        <v>2</v>
      </c>
      <c r="AC144" s="445" t="s">
        <v>17</v>
      </c>
      <c r="AD144" s="445">
        <v>7</v>
      </c>
      <c r="AE144" s="445" t="s">
        <v>3</v>
      </c>
      <c r="AF144" s="445" t="s">
        <v>48</v>
      </c>
      <c r="AG144" s="445">
        <v>4</v>
      </c>
      <c r="AH144" s="445" t="s">
        <v>4</v>
      </c>
      <c r="AI144" s="445">
        <v>6</v>
      </c>
      <c r="AJ144" s="445" t="s">
        <v>5</v>
      </c>
    </row>
    <row r="145" spans="2:36" ht="18.75" hidden="1" x14ac:dyDescent="0.3">
      <c r="B145" s="7" t="s">
        <v>6</v>
      </c>
      <c r="C145" s="6"/>
      <c r="D145" s="6">
        <f>AB145</f>
        <v>169</v>
      </c>
      <c r="E145" s="6" t="str">
        <f>IF(SQRT((ABS(AD145-F145))^2)/AD145&gt;0.02,"F","R")</f>
        <v>F</v>
      </c>
      <c r="F145" s="6"/>
      <c r="G145" s="6"/>
      <c r="H145" s="6" t="str">
        <f>IF(SQRT((ABS(AG145-I145))^2)/AG145&gt;0.02,"F","R")</f>
        <v>F</v>
      </c>
      <c r="I145" s="6"/>
      <c r="J145" s="6" t="str">
        <f>IF(SQRT((ABS(AI145-K145))^2)/AI145&gt;0.02,"F","R")</f>
        <v>F</v>
      </c>
      <c r="K145" s="6"/>
      <c r="L145" s="107"/>
      <c r="N145" s="3"/>
      <c r="O145" s="3"/>
      <c r="P145" s="3"/>
      <c r="Q145" s="3"/>
      <c r="R145" s="3"/>
      <c r="S145" s="3"/>
      <c r="T145" s="3"/>
      <c r="U145" s="3"/>
      <c r="V145" s="3"/>
      <c r="W145" s="3"/>
      <c r="X145" s="3"/>
      <c r="Y145" s="3"/>
      <c r="Z145" s="3"/>
      <c r="AA145" s="437" t="s">
        <v>6</v>
      </c>
      <c r="AB145" s="446">
        <v>169</v>
      </c>
      <c r="AC145" s="446"/>
      <c r="AD145" s="446">
        <v>629.50645204203818</v>
      </c>
      <c r="AE145" s="446"/>
      <c r="AF145" s="437"/>
      <c r="AG145" s="446">
        <v>494.72462418518029</v>
      </c>
      <c r="AH145" s="446"/>
      <c r="AI145" s="446">
        <v>303.78182785685777</v>
      </c>
      <c r="AJ145" s="446"/>
    </row>
    <row r="146" spans="2:36" ht="18.75" hidden="1" x14ac:dyDescent="0.3">
      <c r="B146" s="7" t="s">
        <v>7</v>
      </c>
      <c r="C146" s="6" t="str">
        <f>IF(SQRT((ABS(AB146-D146))^2)/AB146&gt;0.02,"F","R")</f>
        <v>F</v>
      </c>
      <c r="D146" s="6"/>
      <c r="E146" s="6" t="str">
        <f>IF(SQRT((ABS(AD146-F146))^2)/AD146&gt;0.02,"F","R")</f>
        <v>F</v>
      </c>
      <c r="F146" s="6"/>
      <c r="G146" s="6"/>
      <c r="H146" s="6" t="str">
        <f>IF(SQRT((ABS(AG146-I146))^2)/AG146&gt;0.02,"F","R")</f>
        <v>F</v>
      </c>
      <c r="I146" s="6"/>
      <c r="J146" s="6" t="str">
        <f>IF(SQRT((ABS(AI146-K146))^2)/AI146&gt;0.02,"F","R")</f>
        <v>F</v>
      </c>
      <c r="K146" s="6"/>
      <c r="L146" s="107"/>
      <c r="N146" s="3"/>
      <c r="O146" s="3"/>
      <c r="P146" s="3"/>
      <c r="Q146" s="3"/>
      <c r="R146" s="3"/>
      <c r="S146" s="3"/>
      <c r="T146" s="3"/>
      <c r="U146" s="3"/>
      <c r="V146" s="3"/>
      <c r="W146" s="3"/>
      <c r="X146" s="3"/>
      <c r="Y146" s="3"/>
      <c r="Z146" s="3"/>
      <c r="AA146" s="437" t="s">
        <v>7</v>
      </c>
      <c r="AB146" s="446">
        <v>30.067999999999998</v>
      </c>
      <c r="AC146" s="446"/>
      <c r="AD146" s="446">
        <v>32</v>
      </c>
      <c r="AE146" s="446"/>
      <c r="AF146" s="437"/>
      <c r="AG146" s="446">
        <v>44.01</v>
      </c>
      <c r="AH146" s="446"/>
      <c r="AI146" s="446">
        <v>18.015999999999998</v>
      </c>
      <c r="AJ146" s="446"/>
    </row>
    <row r="147" spans="2:36" ht="18.75" hidden="1" x14ac:dyDescent="0.3">
      <c r="B147" s="7" t="s">
        <v>8</v>
      </c>
      <c r="C147" s="6" t="str">
        <f>IF(SQRT((ABS(AB147-D147))^2)/AB147&gt;0.02,"F","R")</f>
        <v>F</v>
      </c>
      <c r="D147" s="6"/>
      <c r="E147" s="6" t="str">
        <f>IF(SQRT((ABS(AD147-F147))^2)/AD147&gt;0.02,"F","R")</f>
        <v>F</v>
      </c>
      <c r="F147" s="6"/>
      <c r="G147" s="6"/>
      <c r="H147" s="6" t="str">
        <f>IF(SQRT((ABS(AG147-I147))^2)/AG147&gt;0.02,"F","R")</f>
        <v>F</v>
      </c>
      <c r="I147" s="6"/>
      <c r="J147" s="6" t="str">
        <f>IF(SQRT((ABS(AI147-K147))^2)/AI147&gt;0.02,"F","R")</f>
        <v>F</v>
      </c>
      <c r="K147" s="6"/>
      <c r="L147" s="107"/>
      <c r="N147" s="3"/>
      <c r="O147" s="3"/>
      <c r="P147" s="3"/>
      <c r="Q147" s="3"/>
      <c r="R147" s="3"/>
      <c r="S147" s="3"/>
      <c r="T147" s="3"/>
      <c r="U147" s="3"/>
      <c r="V147" s="3"/>
      <c r="W147" s="3"/>
      <c r="X147" s="3"/>
      <c r="Y147" s="3"/>
      <c r="Z147" s="3"/>
      <c r="AA147" s="437" t="s">
        <v>8</v>
      </c>
      <c r="AB147" s="446">
        <v>5.6205933218039119</v>
      </c>
      <c r="AC147" s="446"/>
      <c r="AD147" s="446">
        <v>19.672076626313693</v>
      </c>
      <c r="AE147" s="446"/>
      <c r="AF147" s="437"/>
      <c r="AG147" s="446">
        <v>11.241186643607824</v>
      </c>
      <c r="AH147" s="446"/>
      <c r="AI147" s="446">
        <v>16.861779965411735</v>
      </c>
      <c r="AJ147" s="446"/>
    </row>
    <row r="148" spans="2:36" ht="18.75" hidden="1" x14ac:dyDescent="0.3">
      <c r="B148" s="7" t="s">
        <v>9</v>
      </c>
      <c r="C148" s="6" t="str">
        <f>IF(SQRT((ABS(AB148-D148))^2)/AB148&gt;0.02,"F","R")</f>
        <v>F</v>
      </c>
      <c r="D148" s="6"/>
      <c r="E148" s="6" t="str">
        <f>IF(SQRT((ABS(AD148-F148))^2)/AD148&gt;0.02,"F","R")</f>
        <v>F</v>
      </c>
      <c r="F148" s="6"/>
      <c r="G148" s="6"/>
      <c r="H148" s="6" t="str">
        <f>IF(SQRT((ABS(AG148-I148))^2)/AG148&gt;0.02,"F","R")</f>
        <v>F</v>
      </c>
      <c r="I148" s="6"/>
      <c r="J148" s="6" t="str">
        <f>IF(SQRT((ABS(AI148-K148))^2)/AI148&gt;0.02,"F","R")</f>
        <v>F</v>
      </c>
      <c r="K148" s="6"/>
      <c r="L148" s="107"/>
      <c r="N148" s="3"/>
      <c r="O148" s="3"/>
      <c r="P148" s="3"/>
      <c r="Q148" s="3"/>
      <c r="R148" s="3"/>
      <c r="S148" s="3"/>
      <c r="T148" s="3"/>
      <c r="U148" s="3"/>
      <c r="V148" s="3"/>
      <c r="W148" s="3"/>
      <c r="X148" s="3"/>
      <c r="Y148" s="3"/>
      <c r="Z148" s="3"/>
      <c r="AA148" s="437" t="s">
        <v>9</v>
      </c>
      <c r="AB148" s="446">
        <v>2</v>
      </c>
      <c r="AC148" s="446"/>
      <c r="AD148" s="446">
        <v>7</v>
      </c>
      <c r="AE148" s="446"/>
      <c r="AF148" s="437"/>
      <c r="AG148" s="446">
        <v>4</v>
      </c>
      <c r="AH148" s="446"/>
      <c r="AI148" s="446">
        <v>6</v>
      </c>
      <c r="AJ148" s="446"/>
    </row>
    <row r="149" spans="2:36" hidden="1" x14ac:dyDescent="0.25">
      <c r="B149" s="106"/>
      <c r="C149" s="3"/>
      <c r="D149" s="3"/>
      <c r="E149" s="3"/>
      <c r="F149" s="3"/>
      <c r="G149" s="3"/>
      <c r="H149" s="3"/>
      <c r="I149" s="3"/>
      <c r="J149" s="3"/>
      <c r="K149" s="3"/>
      <c r="L149" s="107"/>
      <c r="N149" s="3"/>
      <c r="O149" s="3"/>
      <c r="P149" s="3"/>
      <c r="Q149" s="3"/>
      <c r="R149" s="3"/>
      <c r="S149" s="3"/>
      <c r="T149" s="3"/>
      <c r="U149" s="3"/>
      <c r="V149" s="3"/>
      <c r="W149" s="3"/>
      <c r="X149" s="3"/>
      <c r="Y149" s="3"/>
      <c r="Z149" s="3"/>
      <c r="AA149" s="437"/>
      <c r="AB149" s="437"/>
      <c r="AC149" s="437"/>
      <c r="AD149" s="437"/>
      <c r="AE149" s="437"/>
      <c r="AF149" s="437"/>
      <c r="AG149" s="437"/>
      <c r="AH149" s="437"/>
      <c r="AI149" s="437"/>
      <c r="AJ149" s="437"/>
    </row>
    <row r="150" spans="2:36" ht="18.75" hidden="1" x14ac:dyDescent="0.3">
      <c r="B150" s="6"/>
      <c r="C150" s="6"/>
      <c r="D150" s="7" t="str">
        <f>AC150</f>
        <v>CH4</v>
      </c>
      <c r="E150" s="7"/>
      <c r="F150" s="7" t="s">
        <v>49</v>
      </c>
      <c r="G150" s="7" t="str">
        <f>AF150</f>
        <v>⟶</v>
      </c>
      <c r="H150" s="7"/>
      <c r="I150" s="7" t="s">
        <v>31</v>
      </c>
      <c r="J150" s="7"/>
      <c r="K150" s="7" t="s">
        <v>50</v>
      </c>
      <c r="L150" s="107"/>
      <c r="N150" s="3"/>
      <c r="O150" s="3"/>
      <c r="P150" s="3"/>
      <c r="Q150" s="3"/>
      <c r="R150" s="3"/>
      <c r="S150" s="3"/>
      <c r="T150" s="3"/>
      <c r="U150" s="3"/>
      <c r="V150" s="3"/>
      <c r="W150" s="3"/>
      <c r="X150" s="3"/>
      <c r="Y150" s="3"/>
      <c r="Z150" s="3"/>
      <c r="AA150" s="437"/>
      <c r="AB150" s="437">
        <v>1</v>
      </c>
      <c r="AC150" s="445" t="s">
        <v>23</v>
      </c>
      <c r="AD150" s="445">
        <v>2</v>
      </c>
      <c r="AE150" s="445" t="s">
        <v>3</v>
      </c>
      <c r="AF150" s="445" t="s">
        <v>48</v>
      </c>
      <c r="AG150" s="445">
        <v>1</v>
      </c>
      <c r="AH150" s="445" t="s">
        <v>4</v>
      </c>
      <c r="AI150" s="445">
        <v>2</v>
      </c>
      <c r="AJ150" s="445" t="s">
        <v>5</v>
      </c>
    </row>
    <row r="151" spans="2:36" ht="18.75" hidden="1" x14ac:dyDescent="0.3">
      <c r="B151" s="7" t="s">
        <v>6</v>
      </c>
      <c r="C151" s="6"/>
      <c r="D151" s="6">
        <f>AB151</f>
        <v>225</v>
      </c>
      <c r="E151" s="6" t="str">
        <f>IF(SQRT((ABS(AD151-F151))^2)/AD151&gt;0.02,"F","R")</f>
        <v>F</v>
      </c>
      <c r="F151" s="6"/>
      <c r="G151" s="6"/>
      <c r="H151" s="6" t="str">
        <f>IF(SQRT((ABS(AG151-I151))^2)/AG151&gt;0.02,"F","R")</f>
        <v>F</v>
      </c>
      <c r="I151" s="6"/>
      <c r="J151" s="6" t="str">
        <f>IF(SQRT((ABS(AI151-K151))^2)/AI151&gt;0.02,"F","R")</f>
        <v>F</v>
      </c>
      <c r="K151" s="6"/>
      <c r="L151" s="107"/>
      <c r="N151" s="3"/>
      <c r="O151" s="3"/>
      <c r="P151" s="3"/>
      <c r="Q151" s="3"/>
      <c r="R151" s="3"/>
      <c r="S151" s="3"/>
      <c r="T151" s="3"/>
      <c r="U151" s="3"/>
      <c r="V151" s="3"/>
      <c r="W151" s="3"/>
      <c r="X151" s="3"/>
      <c r="Y151" s="3"/>
      <c r="Z151" s="3"/>
      <c r="AA151" s="437" t="s">
        <v>6</v>
      </c>
      <c r="AB151" s="446">
        <v>225</v>
      </c>
      <c r="AC151" s="446"/>
      <c r="AD151" s="446">
        <v>897.64368532601907</v>
      </c>
      <c r="AE151" s="446"/>
      <c r="AF151" s="437"/>
      <c r="AG151" s="446">
        <v>617.27029048747022</v>
      </c>
      <c r="AH151" s="446"/>
      <c r="AI151" s="446">
        <v>505.37339483854868</v>
      </c>
      <c r="AJ151" s="446"/>
    </row>
    <row r="152" spans="2:36" ht="18.75" hidden="1" x14ac:dyDescent="0.3">
      <c r="B152" s="7" t="s">
        <v>7</v>
      </c>
      <c r="C152" s="6" t="str">
        <f>IF(SQRT((ABS(AB152-D152))^2)/AB152&gt;0.02,"F","R")</f>
        <v>F</v>
      </c>
      <c r="D152" s="6"/>
      <c r="E152" s="6" t="str">
        <f>IF(SQRT((ABS(AD152-F152))^2)/AD152&gt;0.02,"F","R")</f>
        <v>F</v>
      </c>
      <c r="F152" s="6"/>
      <c r="G152" s="6"/>
      <c r="H152" s="6" t="str">
        <f>IF(SQRT((ABS(AG152-I152))^2)/AG152&gt;0.02,"F","R")</f>
        <v>F</v>
      </c>
      <c r="I152" s="6"/>
      <c r="J152" s="6" t="str">
        <f>IF(SQRT((ABS(AI152-K152))^2)/AI152&gt;0.02,"F","R")</f>
        <v>F</v>
      </c>
      <c r="K152" s="6"/>
      <c r="L152" s="107"/>
      <c r="N152" s="3"/>
      <c r="O152" s="3"/>
      <c r="P152" s="3"/>
      <c r="Q152" s="3"/>
      <c r="R152" s="3"/>
      <c r="S152" s="3"/>
      <c r="T152" s="3"/>
      <c r="U152" s="3"/>
      <c r="V152" s="3"/>
      <c r="W152" s="3"/>
      <c r="X152" s="3"/>
      <c r="Y152" s="3"/>
      <c r="Z152" s="3"/>
      <c r="AA152" s="437" t="s">
        <v>7</v>
      </c>
      <c r="AB152" s="446">
        <v>16.042000000000002</v>
      </c>
      <c r="AC152" s="446"/>
      <c r="AD152" s="446">
        <v>32</v>
      </c>
      <c r="AE152" s="446"/>
      <c r="AF152" s="437"/>
      <c r="AG152" s="446">
        <v>44.01</v>
      </c>
      <c r="AH152" s="446"/>
      <c r="AI152" s="446">
        <v>18.015999999999998</v>
      </c>
      <c r="AJ152" s="446"/>
    </row>
    <row r="153" spans="2:36" ht="18.75" hidden="1" x14ac:dyDescent="0.3">
      <c r="B153" s="7" t="s">
        <v>8</v>
      </c>
      <c r="C153" s="6" t="str">
        <f>IF(SQRT((ABS(AB153-D153))^2)/AB153&gt;0.02,"F","R")</f>
        <v>F</v>
      </c>
      <c r="D153" s="6"/>
      <c r="E153" s="6" t="str">
        <f>IF(SQRT((ABS(AD153-F153))^2)/AD153&gt;0.02,"F","R")</f>
        <v>F</v>
      </c>
      <c r="F153" s="6"/>
      <c r="G153" s="6"/>
      <c r="H153" s="6" t="str">
        <f>IF(SQRT((ABS(AG153-I153))^2)/AG153&gt;0.02,"F","R")</f>
        <v>F</v>
      </c>
      <c r="I153" s="6"/>
      <c r="J153" s="6" t="str">
        <f>IF(SQRT((ABS(AI153-K153))^2)/AI153&gt;0.02,"F","R")</f>
        <v>F</v>
      </c>
      <c r="K153" s="6"/>
      <c r="L153" s="107"/>
      <c r="N153" s="3"/>
      <c r="O153" s="3"/>
      <c r="P153" s="3"/>
      <c r="Q153" s="3"/>
      <c r="R153" s="3"/>
      <c r="S153" s="3"/>
      <c r="T153" s="3"/>
      <c r="U153" s="3"/>
      <c r="V153" s="3"/>
      <c r="W153" s="3"/>
      <c r="X153" s="3"/>
      <c r="Y153" s="3"/>
      <c r="Z153" s="3"/>
      <c r="AA153" s="437" t="s">
        <v>8</v>
      </c>
      <c r="AB153" s="446">
        <v>14.025682583219048</v>
      </c>
      <c r="AC153" s="446"/>
      <c r="AD153" s="446">
        <v>28.051365166438096</v>
      </c>
      <c r="AE153" s="446"/>
      <c r="AF153" s="437"/>
      <c r="AG153" s="446">
        <v>14.025682583219048</v>
      </c>
      <c r="AH153" s="446"/>
      <c r="AI153" s="446">
        <v>28.051365166438096</v>
      </c>
      <c r="AJ153" s="446"/>
    </row>
    <row r="154" spans="2:36" ht="18.75" hidden="1" x14ac:dyDescent="0.3">
      <c r="B154" s="7" t="s">
        <v>9</v>
      </c>
      <c r="C154" s="6" t="str">
        <f>IF(SQRT((ABS(AB154-D154))^2)/AB154&gt;0.02,"F","R")</f>
        <v>F</v>
      </c>
      <c r="D154" s="6"/>
      <c r="E154" s="6" t="str">
        <f>IF(SQRT((ABS(AD154-F154))^2)/AD154&gt;0.02,"F","R")</f>
        <v>F</v>
      </c>
      <c r="F154" s="6"/>
      <c r="G154" s="6"/>
      <c r="H154" s="6" t="str">
        <f>IF(SQRT((ABS(AG154-I154))^2)/AG154&gt;0.02,"F","R")</f>
        <v>F</v>
      </c>
      <c r="I154" s="6"/>
      <c r="J154" s="6" t="str">
        <f>IF(SQRT((ABS(AI154-K154))^2)/AI154&gt;0.02,"F","R")</f>
        <v>F</v>
      </c>
      <c r="K154" s="6"/>
      <c r="L154" s="107"/>
      <c r="N154" s="3"/>
      <c r="O154" s="3"/>
      <c r="P154" s="3"/>
      <c r="Q154" s="3"/>
      <c r="R154" s="3"/>
      <c r="S154" s="3"/>
      <c r="T154" s="3"/>
      <c r="U154" s="3"/>
      <c r="V154" s="3"/>
      <c r="W154" s="3"/>
      <c r="X154" s="3"/>
      <c r="Y154" s="3"/>
      <c r="Z154" s="3"/>
      <c r="AA154" s="437" t="s">
        <v>9</v>
      </c>
      <c r="AB154" s="446">
        <v>1</v>
      </c>
      <c r="AC154" s="446"/>
      <c r="AD154" s="446">
        <v>2</v>
      </c>
      <c r="AE154" s="446"/>
      <c r="AF154" s="437"/>
      <c r="AG154" s="446">
        <v>1</v>
      </c>
      <c r="AH154" s="446"/>
      <c r="AI154" s="446">
        <v>2</v>
      </c>
      <c r="AJ154" s="446"/>
    </row>
    <row r="155" spans="2:36" hidden="1" x14ac:dyDescent="0.25">
      <c r="B155" s="106"/>
      <c r="C155" s="3"/>
      <c r="D155" s="3"/>
      <c r="E155" s="3"/>
      <c r="F155" s="3"/>
      <c r="G155" s="3"/>
      <c r="H155" s="3"/>
      <c r="I155" s="3"/>
      <c r="J155" s="3"/>
      <c r="K155" s="3"/>
      <c r="L155" s="107"/>
      <c r="N155" s="3"/>
      <c r="O155" s="3"/>
      <c r="P155" s="3"/>
      <c r="Q155" s="3"/>
      <c r="R155" s="3"/>
      <c r="S155" s="3"/>
      <c r="T155" s="3"/>
      <c r="U155" s="3"/>
      <c r="V155" s="3"/>
      <c r="W155" s="3"/>
      <c r="X155" s="3"/>
      <c r="Y155" s="3"/>
      <c r="Z155" s="3"/>
      <c r="AA155" s="437"/>
      <c r="AB155" s="437"/>
      <c r="AC155" s="437"/>
      <c r="AD155" s="437"/>
      <c r="AE155" s="437"/>
      <c r="AF155" s="437"/>
      <c r="AG155" s="437"/>
      <c r="AH155" s="437"/>
      <c r="AI155" s="437"/>
      <c r="AJ155" s="437"/>
    </row>
    <row r="156" spans="2:36" ht="18.75" hidden="1" x14ac:dyDescent="0.3">
      <c r="B156" s="6"/>
      <c r="C156" s="6"/>
      <c r="D156" s="7" t="str">
        <f>AC156</f>
        <v>C3H7OH</v>
      </c>
      <c r="E156" s="7"/>
      <c r="F156" s="7" t="s">
        <v>49</v>
      </c>
      <c r="G156" s="7" t="str">
        <f>AF156</f>
        <v>⟶</v>
      </c>
      <c r="H156" s="7"/>
      <c r="I156" s="7" t="s">
        <v>31</v>
      </c>
      <c r="J156" s="7"/>
      <c r="K156" s="7" t="s">
        <v>50</v>
      </c>
      <c r="L156" s="107"/>
      <c r="N156" s="3"/>
      <c r="O156" s="3"/>
      <c r="P156" s="3"/>
      <c r="Q156" s="3"/>
      <c r="R156" s="3"/>
      <c r="S156" s="3"/>
      <c r="T156" s="3"/>
      <c r="U156" s="3"/>
      <c r="V156" s="3"/>
      <c r="W156" s="3"/>
      <c r="X156" s="3"/>
      <c r="Y156" s="3"/>
      <c r="Z156" s="3"/>
      <c r="AA156" s="437"/>
      <c r="AB156" s="437">
        <v>2</v>
      </c>
      <c r="AC156" s="445" t="s">
        <v>15</v>
      </c>
      <c r="AD156" s="445">
        <v>9</v>
      </c>
      <c r="AE156" s="445" t="s">
        <v>3</v>
      </c>
      <c r="AF156" s="445" t="s">
        <v>48</v>
      </c>
      <c r="AG156" s="445">
        <v>6</v>
      </c>
      <c r="AH156" s="445" t="s">
        <v>4</v>
      </c>
      <c r="AI156" s="445">
        <v>8</v>
      </c>
      <c r="AJ156" s="445" t="s">
        <v>5</v>
      </c>
    </row>
    <row r="157" spans="2:36" ht="18.75" hidden="1" x14ac:dyDescent="0.3">
      <c r="B157" s="7" t="s">
        <v>6</v>
      </c>
      <c r="C157" s="6"/>
      <c r="D157" s="6">
        <f>AB157</f>
        <v>109</v>
      </c>
      <c r="E157" s="6" t="str">
        <f>IF(SQRT((ABS(AD157-F157))^2)/AD157&gt;0.02,"F","R")</f>
        <v>F</v>
      </c>
      <c r="F157" s="6"/>
      <c r="G157" s="6"/>
      <c r="H157" s="6" t="str">
        <f>IF(SQRT((ABS(AG157-I157))^2)/AG157&gt;0.02,"F","R")</f>
        <v>F</v>
      </c>
      <c r="I157" s="6"/>
      <c r="J157" s="6" t="str">
        <f>IF(SQRT((ABS(AI157-K157))^2)/AI157&gt;0.02,"F","R")</f>
        <v>F</v>
      </c>
      <c r="K157" s="6"/>
      <c r="L157" s="107"/>
      <c r="N157" s="3"/>
      <c r="O157" s="3"/>
      <c r="P157" s="3"/>
      <c r="Q157" s="3"/>
      <c r="R157" s="3"/>
      <c r="S157" s="3"/>
      <c r="T157" s="3"/>
      <c r="U157" s="3"/>
      <c r="V157" s="3"/>
      <c r="W157" s="3"/>
      <c r="X157" s="3"/>
      <c r="Y157" s="3"/>
      <c r="Z157" s="3"/>
      <c r="AA157" s="437" t="s">
        <v>6</v>
      </c>
      <c r="AB157" s="446">
        <v>109</v>
      </c>
      <c r="AC157" s="446"/>
      <c r="AD157" s="446">
        <v>261.19080107831064</v>
      </c>
      <c r="AE157" s="446"/>
      <c r="AF157" s="437"/>
      <c r="AG157" s="446">
        <v>239.47931573867604</v>
      </c>
      <c r="AH157" s="446"/>
      <c r="AI157" s="446">
        <v>130.71148533963455</v>
      </c>
      <c r="AJ157" s="446"/>
    </row>
    <row r="158" spans="2:36" ht="18.75" hidden="1" x14ac:dyDescent="0.3">
      <c r="B158" s="7" t="s">
        <v>7</v>
      </c>
      <c r="C158" s="6" t="str">
        <f>IF(SQRT((ABS(AB158-D158))^2)/AB158&gt;0.02,"F","R")</f>
        <v>F</v>
      </c>
      <c r="D158" s="6"/>
      <c r="E158" s="6" t="str">
        <f>IF(SQRT((ABS(AD158-F158))^2)/AD158&gt;0.02,"F","R")</f>
        <v>F</v>
      </c>
      <c r="F158" s="6"/>
      <c r="G158" s="6"/>
      <c r="H158" s="6" t="str">
        <f>IF(SQRT((ABS(AG158-I158))^2)/AG158&gt;0.02,"F","R")</f>
        <v>F</v>
      </c>
      <c r="I158" s="6"/>
      <c r="J158" s="6" t="str">
        <f>IF(SQRT((ABS(AI158-K158))^2)/AI158&gt;0.02,"F","R")</f>
        <v>F</v>
      </c>
      <c r="K158" s="6"/>
      <c r="L158" s="107"/>
      <c r="N158" s="3"/>
      <c r="O158" s="3"/>
      <c r="P158" s="3"/>
      <c r="Q158" s="3"/>
      <c r="R158" s="3"/>
      <c r="S158" s="3"/>
      <c r="T158" s="3"/>
      <c r="U158" s="3"/>
      <c r="V158" s="3"/>
      <c r="W158" s="3"/>
      <c r="X158" s="3"/>
      <c r="Y158" s="3"/>
      <c r="Z158" s="3"/>
      <c r="AA158" s="437" t="s">
        <v>7</v>
      </c>
      <c r="AB158" s="446">
        <v>60.094000000000001</v>
      </c>
      <c r="AC158" s="446"/>
      <c r="AD158" s="446">
        <v>32</v>
      </c>
      <c r="AE158" s="446"/>
      <c r="AF158" s="437"/>
      <c r="AG158" s="446">
        <v>44.01</v>
      </c>
      <c r="AH158" s="446"/>
      <c r="AI158" s="446">
        <v>18.015999999999998</v>
      </c>
      <c r="AJ158" s="446"/>
    </row>
    <row r="159" spans="2:36" ht="18.75" hidden="1" x14ac:dyDescent="0.3">
      <c r="B159" s="7" t="s">
        <v>8</v>
      </c>
      <c r="C159" s="6" t="str">
        <f>IF(SQRT((ABS(AB159-D159))^2)/AB159&gt;0.02,"F","R")</f>
        <v>F</v>
      </c>
      <c r="D159" s="6"/>
      <c r="E159" s="6" t="str">
        <f>IF(SQRT((ABS(AD159-F159))^2)/AD159&gt;0.02,"F","R")</f>
        <v>F</v>
      </c>
      <c r="F159" s="6"/>
      <c r="G159" s="6"/>
      <c r="H159" s="6" t="str">
        <f>IF(SQRT((ABS(AG159-I159))^2)/AG159&gt;0.02,"F","R")</f>
        <v>F</v>
      </c>
      <c r="I159" s="6"/>
      <c r="J159" s="6" t="str">
        <f>IF(SQRT((ABS(AI159-K159))^2)/AI159&gt;0.02,"F","R")</f>
        <v>F</v>
      </c>
      <c r="K159" s="6"/>
      <c r="L159" s="107"/>
      <c r="N159" s="3"/>
      <c r="O159" s="3"/>
      <c r="P159" s="3"/>
      <c r="Q159" s="3"/>
      <c r="R159" s="3"/>
      <c r="S159" s="3"/>
      <c r="T159" s="3"/>
      <c r="U159" s="3"/>
      <c r="V159" s="3"/>
      <c r="W159" s="3"/>
      <c r="X159" s="3"/>
      <c r="Y159" s="3"/>
      <c r="Z159" s="3"/>
      <c r="AA159" s="437" t="s">
        <v>8</v>
      </c>
      <c r="AB159" s="446">
        <v>1.8138250074882682</v>
      </c>
      <c r="AC159" s="446"/>
      <c r="AD159" s="446">
        <v>8.1622125336972076</v>
      </c>
      <c r="AE159" s="446"/>
      <c r="AF159" s="437"/>
      <c r="AG159" s="446">
        <v>5.4414750224648047</v>
      </c>
      <c r="AH159" s="446"/>
      <c r="AI159" s="446">
        <v>7.255300029953073</v>
      </c>
      <c r="AJ159" s="446"/>
    </row>
    <row r="160" spans="2:36" ht="18.75" hidden="1" x14ac:dyDescent="0.3">
      <c r="B160" s="7" t="s">
        <v>9</v>
      </c>
      <c r="C160" s="6" t="str">
        <f>IF(SQRT((ABS(AB160-D160))^2)/AB160&gt;0.02,"F","R")</f>
        <v>F</v>
      </c>
      <c r="D160" s="6"/>
      <c r="E160" s="6" t="str">
        <f>IF(SQRT((ABS(AD160-F160))^2)/AD160&gt;0.02,"F","R")</f>
        <v>F</v>
      </c>
      <c r="F160" s="6"/>
      <c r="G160" s="6"/>
      <c r="H160" s="6" t="str">
        <f>IF(SQRT((ABS(AG160-I160))^2)/AG160&gt;0.02,"F","R")</f>
        <v>F</v>
      </c>
      <c r="I160" s="6"/>
      <c r="J160" s="6" t="str">
        <f>IF(SQRT((ABS(AI160-K160))^2)/AI160&gt;0.02,"F","R")</f>
        <v>F</v>
      </c>
      <c r="K160" s="6"/>
      <c r="L160" s="107"/>
      <c r="N160" s="3"/>
      <c r="O160" s="3"/>
      <c r="P160" s="3"/>
      <c r="Q160" s="3"/>
      <c r="R160" s="3"/>
      <c r="S160" s="3"/>
      <c r="T160" s="3"/>
      <c r="U160" s="3"/>
      <c r="V160" s="3"/>
      <c r="W160" s="3"/>
      <c r="X160" s="3"/>
      <c r="Y160" s="3"/>
      <c r="Z160" s="3"/>
      <c r="AA160" s="437" t="s">
        <v>9</v>
      </c>
      <c r="AB160" s="446">
        <v>2</v>
      </c>
      <c r="AC160" s="446"/>
      <c r="AD160" s="446">
        <v>9</v>
      </c>
      <c r="AE160" s="446"/>
      <c r="AF160" s="437"/>
      <c r="AG160" s="446">
        <v>6</v>
      </c>
      <c r="AH160" s="446"/>
      <c r="AI160" s="446">
        <v>8</v>
      </c>
      <c r="AJ160" s="446"/>
    </row>
    <row r="161" spans="2:36" x14ac:dyDescent="0.25">
      <c r="AA161" s="437"/>
      <c r="AB161" s="437"/>
      <c r="AC161" s="437"/>
      <c r="AD161" s="437"/>
      <c r="AE161" s="437"/>
      <c r="AF161" s="437"/>
      <c r="AG161" s="437"/>
      <c r="AH161" s="437"/>
      <c r="AI161" s="437"/>
      <c r="AJ161" s="437"/>
    </row>
    <row r="162" spans="2:36" ht="18.75" hidden="1" x14ac:dyDescent="0.3">
      <c r="B162" s="6"/>
      <c r="C162" s="6"/>
      <c r="D162" s="7" t="str">
        <f>AC162</f>
        <v>C9H18</v>
      </c>
      <c r="E162" s="7"/>
      <c r="F162" s="7" t="s">
        <v>49</v>
      </c>
      <c r="G162" s="7" t="str">
        <f>AF162</f>
        <v>⟶</v>
      </c>
      <c r="H162" s="7"/>
      <c r="I162" s="7" t="s">
        <v>31</v>
      </c>
      <c r="J162" s="7"/>
      <c r="K162" s="7" t="s">
        <v>50</v>
      </c>
      <c r="L162" s="107"/>
      <c r="N162" s="3"/>
      <c r="O162" s="3"/>
      <c r="P162" s="3"/>
      <c r="Q162" s="3"/>
      <c r="R162" s="3"/>
      <c r="S162" s="3"/>
      <c r="T162" s="3"/>
      <c r="U162" s="3"/>
      <c r="V162" s="3"/>
      <c r="W162" s="3"/>
      <c r="X162" s="3"/>
      <c r="Y162" s="3"/>
      <c r="Z162" s="3"/>
      <c r="AA162" s="437"/>
      <c r="AB162" s="437">
        <v>2</v>
      </c>
      <c r="AC162" s="445" t="s">
        <v>25</v>
      </c>
      <c r="AD162" s="445">
        <v>27</v>
      </c>
      <c r="AE162" s="445" t="s">
        <v>3</v>
      </c>
      <c r="AF162" s="445" t="s">
        <v>48</v>
      </c>
      <c r="AG162" s="445">
        <v>18</v>
      </c>
      <c r="AH162" s="445" t="s">
        <v>4</v>
      </c>
      <c r="AI162" s="445">
        <v>18</v>
      </c>
      <c r="AJ162" s="445" t="s">
        <v>5</v>
      </c>
    </row>
    <row r="163" spans="2:36" ht="18.75" hidden="1" x14ac:dyDescent="0.3">
      <c r="B163" s="7" t="s">
        <v>6</v>
      </c>
      <c r="C163" s="6"/>
      <c r="D163" s="6">
        <f>AB163</f>
        <v>139</v>
      </c>
      <c r="E163" s="6" t="str">
        <f>IF(SQRT((ABS(AD163-F163))^2)/AD163&gt;0.02,"F","R")</f>
        <v>F</v>
      </c>
      <c r="F163" s="6"/>
      <c r="G163" s="6"/>
      <c r="H163" s="6" t="str">
        <f>IF(SQRT((ABS(AG163-I163))^2)/AG163&gt;0.02,"F","R")</f>
        <v>F</v>
      </c>
      <c r="I163" s="6"/>
      <c r="J163" s="6" t="str">
        <f>IF(SQRT((ABS(AI163-K163))^2)/AI163&gt;0.02,"F","R")</f>
        <v>F</v>
      </c>
      <c r="K163" s="6"/>
      <c r="L163" s="107"/>
      <c r="N163" s="3"/>
      <c r="O163" s="3"/>
      <c r="P163" s="3"/>
      <c r="Q163" s="3"/>
      <c r="R163" s="3"/>
      <c r="S163" s="3"/>
      <c r="T163" s="3"/>
      <c r="U163" s="3"/>
      <c r="V163" s="3"/>
      <c r="W163" s="3"/>
      <c r="X163" s="3"/>
      <c r="Y163" s="3"/>
      <c r="Z163" s="3"/>
      <c r="AA163" s="437" t="s">
        <v>6</v>
      </c>
      <c r="AB163" s="446">
        <v>139</v>
      </c>
      <c r="AC163" s="446"/>
      <c r="AD163" s="446">
        <v>475.68800798517032</v>
      </c>
      <c r="AE163" s="446"/>
      <c r="AF163" s="437"/>
      <c r="AG163" s="446">
        <v>436.14644232140301</v>
      </c>
      <c r="AH163" s="446"/>
      <c r="AI163" s="446">
        <v>178.54156566376724</v>
      </c>
      <c r="AJ163" s="446"/>
    </row>
    <row r="164" spans="2:36" ht="18.75" hidden="1" x14ac:dyDescent="0.3">
      <c r="B164" s="7" t="s">
        <v>7</v>
      </c>
      <c r="C164" s="6" t="str">
        <f>IF(SQRT((ABS(AB164-D164))^2)/AB164&gt;0.02,"F","R")</f>
        <v>F</v>
      </c>
      <c r="D164" s="6"/>
      <c r="E164" s="6" t="str">
        <f>IF(SQRT((ABS(AD164-F164))^2)/AD164&gt;0.02,"F","R")</f>
        <v>F</v>
      </c>
      <c r="F164" s="6"/>
      <c r="G164" s="6"/>
      <c r="H164" s="6" t="str">
        <f>IF(SQRT((ABS(AG164-I164))^2)/AG164&gt;0.02,"F","R")</f>
        <v>F</v>
      </c>
      <c r="I164" s="6"/>
      <c r="J164" s="6" t="str">
        <f>IF(SQRT((ABS(AI164-K164))^2)/AI164&gt;0.02,"F","R")</f>
        <v>F</v>
      </c>
      <c r="K164" s="6"/>
      <c r="L164" s="107"/>
      <c r="N164" s="3"/>
      <c r="O164" s="3"/>
      <c r="P164" s="3"/>
      <c r="Q164" s="3"/>
      <c r="R164" s="3"/>
      <c r="S164" s="3"/>
      <c r="T164" s="3"/>
      <c r="U164" s="3"/>
      <c r="V164" s="3"/>
      <c r="W164" s="3"/>
      <c r="X164" s="3"/>
      <c r="Y164" s="3"/>
      <c r="Z164" s="3"/>
      <c r="AA164" s="437" t="s">
        <v>7</v>
      </c>
      <c r="AB164" s="446">
        <v>126.23400000000001</v>
      </c>
      <c r="AC164" s="446"/>
      <c r="AD164" s="446">
        <v>32</v>
      </c>
      <c r="AE164" s="446"/>
      <c r="AF164" s="437"/>
      <c r="AG164" s="446">
        <v>44.01</v>
      </c>
      <c r="AH164" s="446"/>
      <c r="AI164" s="446">
        <v>18.015999999999998</v>
      </c>
      <c r="AJ164" s="446"/>
    </row>
    <row r="165" spans="2:36" ht="18.75" hidden="1" x14ac:dyDescent="0.3">
      <c r="B165" s="7" t="s">
        <v>8</v>
      </c>
      <c r="C165" s="6" t="str">
        <f>IF(SQRT((ABS(AB165-D165))^2)/AB165&gt;0.02,"F","R")</f>
        <v>F</v>
      </c>
      <c r="D165" s="6"/>
      <c r="E165" s="6" t="str">
        <f>IF(SQRT((ABS(AD165-F165))^2)/AD165&gt;0.02,"F","R")</f>
        <v>F</v>
      </c>
      <c r="F165" s="6"/>
      <c r="G165" s="6"/>
      <c r="H165" s="6" t="str">
        <f>IF(SQRT((ABS(AG165-I165))^2)/AG165&gt;0.02,"F","R")</f>
        <v>F</v>
      </c>
      <c r="I165" s="6"/>
      <c r="J165" s="6" t="str">
        <f>IF(SQRT((ABS(AI165-K165))^2)/AI165&gt;0.02,"F","R")</f>
        <v>F</v>
      </c>
      <c r="K165" s="6"/>
      <c r="L165" s="107"/>
      <c r="N165" s="3"/>
      <c r="O165" s="3"/>
      <c r="P165" s="3"/>
      <c r="Q165" s="3"/>
      <c r="R165" s="3"/>
      <c r="S165" s="3"/>
      <c r="T165" s="3"/>
      <c r="U165" s="3"/>
      <c r="V165" s="3"/>
      <c r="W165" s="3"/>
      <c r="X165" s="3"/>
      <c r="Y165" s="3"/>
      <c r="Z165" s="3"/>
      <c r="AA165" s="437" t="s">
        <v>8</v>
      </c>
      <c r="AB165" s="446">
        <v>1.1011296481138202</v>
      </c>
      <c r="AC165" s="446"/>
      <c r="AD165" s="446">
        <v>14.865250249536572</v>
      </c>
      <c r="AE165" s="446"/>
      <c r="AF165" s="437"/>
      <c r="AG165" s="446">
        <v>9.9101668330243822</v>
      </c>
      <c r="AH165" s="446"/>
      <c r="AI165" s="446">
        <v>9.9101668330243822</v>
      </c>
      <c r="AJ165" s="446"/>
    </row>
    <row r="166" spans="2:36" ht="18.75" hidden="1" x14ac:dyDescent="0.3">
      <c r="B166" s="7" t="s">
        <v>9</v>
      </c>
      <c r="C166" s="6" t="str">
        <f>IF(SQRT((ABS(AB166-D166))^2)/AB166&gt;0.02,"F","R")</f>
        <v>F</v>
      </c>
      <c r="D166" s="6"/>
      <c r="E166" s="6" t="str">
        <f>IF(SQRT((ABS(AD166-F166))^2)/AD166&gt;0.02,"F","R")</f>
        <v>F</v>
      </c>
      <c r="F166" s="6"/>
      <c r="G166" s="6"/>
      <c r="H166" s="6" t="str">
        <f>IF(SQRT((ABS(AG166-I166))^2)/AG166&gt;0.02,"F","R")</f>
        <v>F</v>
      </c>
      <c r="I166" s="6"/>
      <c r="J166" s="6" t="str">
        <f>IF(SQRT((ABS(AI166-K166))^2)/AI166&gt;0.02,"F","R")</f>
        <v>F</v>
      </c>
      <c r="K166" s="6"/>
      <c r="L166" s="107"/>
      <c r="N166" s="3"/>
      <c r="O166" s="3"/>
      <c r="P166" s="3"/>
      <c r="Q166" s="3"/>
      <c r="R166" s="3"/>
      <c r="S166" s="3"/>
      <c r="T166" s="3"/>
      <c r="U166" s="3"/>
      <c r="V166" s="3"/>
      <c r="W166" s="3"/>
      <c r="X166" s="3"/>
      <c r="Y166" s="3"/>
      <c r="Z166" s="3"/>
      <c r="AA166" s="437" t="s">
        <v>9</v>
      </c>
      <c r="AB166" s="446">
        <v>2</v>
      </c>
      <c r="AC166" s="446"/>
      <c r="AD166" s="446">
        <v>27</v>
      </c>
      <c r="AE166" s="446"/>
      <c r="AF166" s="437"/>
      <c r="AG166" s="446">
        <v>18</v>
      </c>
      <c r="AH166" s="446"/>
      <c r="AI166" s="446">
        <v>18</v>
      </c>
      <c r="AJ166" s="446"/>
    </row>
    <row r="167" spans="2:36" hidden="1" x14ac:dyDescent="0.25">
      <c r="B167" s="106"/>
      <c r="C167" s="3"/>
      <c r="D167" s="3"/>
      <c r="E167" s="3"/>
      <c r="F167" s="3"/>
      <c r="G167" s="3"/>
      <c r="H167" s="3"/>
      <c r="I167" s="3"/>
      <c r="J167" s="3"/>
      <c r="K167" s="3"/>
      <c r="L167" s="107"/>
      <c r="N167" s="3"/>
      <c r="O167" s="3"/>
      <c r="P167" s="3"/>
      <c r="Q167" s="3"/>
      <c r="R167" s="3"/>
      <c r="S167" s="3"/>
      <c r="T167" s="3"/>
      <c r="U167" s="3"/>
      <c r="V167" s="3"/>
      <c r="W167" s="3"/>
      <c r="X167" s="3"/>
      <c r="Y167" s="3"/>
      <c r="Z167" s="3"/>
      <c r="AA167" s="437"/>
      <c r="AB167" s="437"/>
      <c r="AC167" s="437"/>
      <c r="AD167" s="437"/>
      <c r="AE167" s="437"/>
      <c r="AF167" s="437"/>
      <c r="AG167" s="437"/>
      <c r="AH167" s="437"/>
      <c r="AI167" s="437"/>
      <c r="AJ167" s="437"/>
    </row>
    <row r="168" spans="2:36" ht="18.75" hidden="1" x14ac:dyDescent="0.3">
      <c r="B168" s="6"/>
      <c r="C168" s="6"/>
      <c r="D168" s="7" t="str">
        <f>AC168</f>
        <v>C4H10</v>
      </c>
      <c r="E168" s="7"/>
      <c r="F168" s="7" t="s">
        <v>49</v>
      </c>
      <c r="G168" s="7" t="str">
        <f>AF168</f>
        <v>⟶</v>
      </c>
      <c r="H168" s="7"/>
      <c r="I168" s="7" t="s">
        <v>31</v>
      </c>
      <c r="J168" s="7"/>
      <c r="K168" s="7" t="s">
        <v>50</v>
      </c>
      <c r="L168" s="107"/>
      <c r="N168" s="3"/>
      <c r="O168" s="3"/>
      <c r="P168" s="3"/>
      <c r="Q168" s="3"/>
      <c r="R168" s="3"/>
      <c r="S168" s="3"/>
      <c r="T168" s="3"/>
      <c r="U168" s="3"/>
      <c r="V168" s="3"/>
      <c r="W168" s="3"/>
      <c r="X168" s="3"/>
      <c r="Y168" s="3"/>
      <c r="Z168" s="3"/>
      <c r="AA168" s="437"/>
      <c r="AB168" s="437">
        <v>2</v>
      </c>
      <c r="AC168" s="445" t="s">
        <v>27</v>
      </c>
      <c r="AD168" s="445">
        <v>13</v>
      </c>
      <c r="AE168" s="445" t="s">
        <v>3</v>
      </c>
      <c r="AF168" s="445" t="s">
        <v>48</v>
      </c>
      <c r="AG168" s="445">
        <v>8</v>
      </c>
      <c r="AH168" s="445" t="s">
        <v>4</v>
      </c>
      <c r="AI168" s="445">
        <v>10</v>
      </c>
      <c r="AJ168" s="445" t="s">
        <v>5</v>
      </c>
    </row>
    <row r="169" spans="2:36" ht="18.75" hidden="1" x14ac:dyDescent="0.3">
      <c r="B169" s="7" t="s">
        <v>6</v>
      </c>
      <c r="C169" s="6"/>
      <c r="D169" s="6">
        <f>AB169</f>
        <v>237</v>
      </c>
      <c r="E169" s="6" t="str">
        <f>IF(SQRT((ABS(AD169-F169))^2)/AD169&gt;0.02,"F","R")</f>
        <v>F</v>
      </c>
      <c r="F169" s="6"/>
      <c r="G169" s="6"/>
      <c r="H169" s="6" t="str">
        <f>IF(SQRT((ABS(AG169-I169))^2)/AG169&gt;0.02,"F","R")</f>
        <v>F</v>
      </c>
      <c r="I169" s="6"/>
      <c r="J169" s="6" t="str">
        <f>IF(SQRT((ABS(AI169-K169))^2)/AI169&gt;0.02,"F","R")</f>
        <v>F</v>
      </c>
      <c r="K169" s="6"/>
      <c r="L169" s="107"/>
      <c r="N169" s="3"/>
      <c r="O169" s="3"/>
      <c r="P169" s="3"/>
      <c r="Q169" s="3"/>
      <c r="R169" s="3"/>
      <c r="S169" s="3"/>
      <c r="T169" s="3"/>
      <c r="U169" s="3"/>
      <c r="V169" s="3"/>
      <c r="W169" s="3"/>
      <c r="X169" s="3"/>
      <c r="Y169" s="3"/>
      <c r="Z169" s="3"/>
      <c r="AA169" s="437" t="s">
        <v>6</v>
      </c>
      <c r="AB169" s="446">
        <v>237</v>
      </c>
      <c r="AC169" s="446"/>
      <c r="AD169" s="446">
        <v>848.17618719889879</v>
      </c>
      <c r="AE169" s="446"/>
      <c r="AF169" s="437"/>
      <c r="AG169" s="446">
        <v>717.85065381968343</v>
      </c>
      <c r="AH169" s="446"/>
      <c r="AI169" s="446">
        <v>367.32553337921541</v>
      </c>
      <c r="AJ169" s="446"/>
    </row>
    <row r="170" spans="2:36" ht="18.75" hidden="1" x14ac:dyDescent="0.3">
      <c r="B170" s="7" t="s">
        <v>7</v>
      </c>
      <c r="C170" s="6" t="str">
        <f>IF(SQRT((ABS(AB170-D170))^2)/AB170&gt;0.02,"F","R")</f>
        <v>F</v>
      </c>
      <c r="D170" s="6"/>
      <c r="E170" s="6" t="str">
        <f>IF(SQRT((ABS(AD170-F170))^2)/AD170&gt;0.02,"F","R")</f>
        <v>F</v>
      </c>
      <c r="F170" s="6"/>
      <c r="G170" s="6"/>
      <c r="H170" s="6" t="str">
        <f>IF(SQRT((ABS(AG170-I170))^2)/AG170&gt;0.02,"F","R")</f>
        <v>F</v>
      </c>
      <c r="I170" s="6"/>
      <c r="J170" s="6" t="str">
        <f>IF(SQRT((ABS(AI170-K170))^2)/AI170&gt;0.02,"F","R")</f>
        <v>F</v>
      </c>
      <c r="K170" s="6"/>
      <c r="L170" s="107"/>
      <c r="N170" s="3"/>
      <c r="O170" s="3"/>
      <c r="P170" s="3"/>
      <c r="Q170" s="3"/>
      <c r="R170" s="3"/>
      <c r="S170" s="3"/>
      <c r="T170" s="3"/>
      <c r="U170" s="3"/>
      <c r="V170" s="3"/>
      <c r="W170" s="3"/>
      <c r="X170" s="3"/>
      <c r="Y170" s="3"/>
      <c r="Z170" s="3"/>
      <c r="AA170" s="437" t="s">
        <v>7</v>
      </c>
      <c r="AB170" s="446">
        <v>58.12</v>
      </c>
      <c r="AC170" s="446"/>
      <c r="AD170" s="446">
        <v>32</v>
      </c>
      <c r="AE170" s="446"/>
      <c r="AF170" s="437"/>
      <c r="AG170" s="446">
        <v>44.01</v>
      </c>
      <c r="AH170" s="446"/>
      <c r="AI170" s="446">
        <v>18.015999999999998</v>
      </c>
      <c r="AJ170" s="446"/>
    </row>
    <row r="171" spans="2:36" ht="18.75" hidden="1" x14ac:dyDescent="0.3">
      <c r="B171" s="7" t="s">
        <v>8</v>
      </c>
      <c r="C171" s="6" t="str">
        <f>IF(SQRT((ABS(AB171-D171))^2)/AB171&gt;0.02,"F","R")</f>
        <v>F</v>
      </c>
      <c r="D171" s="6"/>
      <c r="E171" s="6" t="str">
        <f>IF(SQRT((ABS(AD171-F171))^2)/AD171&gt;0.02,"F","R")</f>
        <v>F</v>
      </c>
      <c r="F171" s="6"/>
      <c r="G171" s="6"/>
      <c r="H171" s="6" t="str">
        <f>IF(SQRT((ABS(AG171-I171))^2)/AG171&gt;0.02,"F","R")</f>
        <v>F</v>
      </c>
      <c r="I171" s="6"/>
      <c r="J171" s="6" t="str">
        <f>IF(SQRT((ABS(AI171-K171))^2)/AI171&gt;0.02,"F","R")</f>
        <v>F</v>
      </c>
      <c r="K171" s="6"/>
      <c r="L171" s="107"/>
      <c r="N171" s="3"/>
      <c r="O171" s="3"/>
      <c r="P171" s="3"/>
      <c r="Q171" s="3"/>
      <c r="R171" s="3"/>
      <c r="S171" s="3"/>
      <c r="T171" s="3"/>
      <c r="U171" s="3"/>
      <c r="V171" s="3"/>
      <c r="W171" s="3"/>
      <c r="X171" s="3"/>
      <c r="Y171" s="3"/>
      <c r="Z171" s="3"/>
      <c r="AA171" s="437" t="s">
        <v>8</v>
      </c>
      <c r="AB171" s="446">
        <v>4.0777701307639367</v>
      </c>
      <c r="AC171" s="446"/>
      <c r="AD171" s="446">
        <v>26.505505849965587</v>
      </c>
      <c r="AE171" s="446"/>
      <c r="AF171" s="437"/>
      <c r="AG171" s="446">
        <v>16.311080523055747</v>
      </c>
      <c r="AH171" s="446"/>
      <c r="AI171" s="446">
        <v>20.388850653819684</v>
      </c>
      <c r="AJ171" s="446"/>
    </row>
    <row r="172" spans="2:36" ht="18.75" hidden="1" x14ac:dyDescent="0.3">
      <c r="B172" s="7" t="s">
        <v>9</v>
      </c>
      <c r="C172" s="6" t="str">
        <f>IF(SQRT((ABS(AB172-D172))^2)/AB172&gt;0.02,"F","R")</f>
        <v>F</v>
      </c>
      <c r="D172" s="6"/>
      <c r="E172" s="6" t="str">
        <f>IF(SQRT((ABS(AD172-F172))^2)/AD172&gt;0.02,"F","R")</f>
        <v>F</v>
      </c>
      <c r="F172" s="6"/>
      <c r="G172" s="6"/>
      <c r="H172" s="6" t="str">
        <f>IF(SQRT((ABS(AG172-I172))^2)/AG172&gt;0.02,"F","R")</f>
        <v>F</v>
      </c>
      <c r="I172" s="6"/>
      <c r="J172" s="6" t="str">
        <f>IF(SQRT((ABS(AI172-K172))^2)/AI172&gt;0.02,"F","R")</f>
        <v>F</v>
      </c>
      <c r="K172" s="6"/>
      <c r="L172" s="107"/>
      <c r="N172" s="3"/>
      <c r="O172" s="3"/>
      <c r="P172" s="3"/>
      <c r="Q172" s="3"/>
      <c r="R172" s="3"/>
      <c r="S172" s="3"/>
      <c r="T172" s="3"/>
      <c r="U172" s="3"/>
      <c r="V172" s="3"/>
      <c r="W172" s="3"/>
      <c r="X172" s="3"/>
      <c r="Y172" s="3"/>
      <c r="Z172" s="3"/>
      <c r="AA172" s="437" t="s">
        <v>9</v>
      </c>
      <c r="AB172" s="446">
        <v>2</v>
      </c>
      <c r="AC172" s="446"/>
      <c r="AD172" s="446">
        <v>13</v>
      </c>
      <c r="AE172" s="446"/>
      <c r="AF172" s="437"/>
      <c r="AG172" s="446">
        <v>8</v>
      </c>
      <c r="AH172" s="446"/>
      <c r="AI172" s="446">
        <v>10</v>
      </c>
      <c r="AJ172" s="446"/>
    </row>
    <row r="173" spans="2:36" hidden="1" x14ac:dyDescent="0.25">
      <c r="B173" s="106"/>
      <c r="C173" s="3"/>
      <c r="D173" s="3"/>
      <c r="E173" s="3"/>
      <c r="F173" s="3"/>
      <c r="G173" s="3"/>
      <c r="H173" s="3"/>
      <c r="I173" s="3"/>
      <c r="J173" s="3"/>
      <c r="K173" s="3"/>
      <c r="L173" s="107"/>
      <c r="N173" s="3"/>
      <c r="O173" s="3"/>
      <c r="P173" s="3"/>
      <c r="Q173" s="3"/>
      <c r="R173" s="3"/>
      <c r="S173" s="3"/>
      <c r="T173" s="3"/>
      <c r="U173" s="3"/>
      <c r="V173" s="3"/>
      <c r="W173" s="3"/>
      <c r="X173" s="3"/>
      <c r="Y173" s="3"/>
      <c r="Z173" s="3"/>
      <c r="AA173" s="437"/>
      <c r="AB173" s="437"/>
      <c r="AC173" s="437"/>
      <c r="AD173" s="437"/>
      <c r="AE173" s="437"/>
      <c r="AF173" s="437"/>
      <c r="AG173" s="437"/>
      <c r="AH173" s="437"/>
      <c r="AI173" s="437"/>
      <c r="AJ173" s="437"/>
    </row>
    <row r="174" spans="2:36" ht="18.75" hidden="1" x14ac:dyDescent="0.3">
      <c r="B174" s="6"/>
      <c r="C174" s="6"/>
      <c r="D174" s="7" t="str">
        <f>AC174</f>
        <v>C14H30</v>
      </c>
      <c r="E174" s="7"/>
      <c r="F174" s="7" t="s">
        <v>49</v>
      </c>
      <c r="G174" s="7" t="str">
        <f>AF174</f>
        <v>⟶</v>
      </c>
      <c r="H174" s="7"/>
      <c r="I174" s="7" t="s">
        <v>31</v>
      </c>
      <c r="J174" s="7"/>
      <c r="K174" s="7" t="s">
        <v>50</v>
      </c>
      <c r="L174" s="107"/>
      <c r="N174" s="3"/>
      <c r="O174" s="3"/>
      <c r="P174" s="3"/>
      <c r="Q174" s="3"/>
      <c r="R174" s="3"/>
      <c r="S174" s="3"/>
      <c r="T174" s="3"/>
      <c r="U174" s="3"/>
      <c r="V174" s="3"/>
      <c r="W174" s="3"/>
      <c r="X174" s="3"/>
      <c r="Y174" s="3"/>
      <c r="Z174" s="3"/>
      <c r="AA174" s="437"/>
      <c r="AB174" s="437">
        <v>2</v>
      </c>
      <c r="AC174" s="445" t="s">
        <v>19</v>
      </c>
      <c r="AD174" s="445">
        <v>43</v>
      </c>
      <c r="AE174" s="445" t="s">
        <v>3</v>
      </c>
      <c r="AF174" s="445" t="s">
        <v>48</v>
      </c>
      <c r="AG174" s="445">
        <v>28</v>
      </c>
      <c r="AH174" s="445" t="s">
        <v>4</v>
      </c>
      <c r="AI174" s="445">
        <v>30</v>
      </c>
      <c r="AJ174" s="445" t="s">
        <v>5</v>
      </c>
    </row>
    <row r="175" spans="2:36" ht="18.75" hidden="1" x14ac:dyDescent="0.3">
      <c r="B175" s="7" t="s">
        <v>6</v>
      </c>
      <c r="C175" s="6"/>
      <c r="D175" s="6">
        <f>AB175</f>
        <v>36</v>
      </c>
      <c r="E175" s="6" t="str">
        <f>IF(SQRT((ABS(AD175-F175))^2)/AD175&gt;0.02,"F","R")</f>
        <v>F</v>
      </c>
      <c r="F175" s="6"/>
      <c r="G175" s="6"/>
      <c r="H175" s="6" t="str">
        <f>IF(SQRT((ABS(AG175-I175))^2)/AG175&gt;0.02,"F","R")</f>
        <v>F</v>
      </c>
      <c r="I175" s="6"/>
      <c r="J175" s="6" t="str">
        <f>IF(SQRT((ABS(AI175-K175))^2)/AI175&gt;0.02,"F","R")</f>
        <v>F</v>
      </c>
      <c r="K175" s="6"/>
      <c r="L175" s="107"/>
      <c r="N175" s="3"/>
      <c r="O175" s="3"/>
      <c r="P175" s="3"/>
      <c r="Q175" s="3"/>
      <c r="R175" s="3"/>
      <c r="S175" s="3"/>
      <c r="T175" s="3"/>
      <c r="U175" s="3"/>
      <c r="V175" s="3"/>
      <c r="W175" s="3"/>
      <c r="X175" s="3"/>
      <c r="Y175" s="3"/>
      <c r="Z175" s="3"/>
      <c r="AA175" s="437" t="s">
        <v>6</v>
      </c>
      <c r="AB175" s="446">
        <v>36</v>
      </c>
      <c r="AC175" s="446"/>
      <c r="AD175" s="446">
        <v>124.85129549349733</v>
      </c>
      <c r="AE175" s="446"/>
      <c r="AF175" s="437"/>
      <c r="AG175" s="446">
        <v>111.81086803105151</v>
      </c>
      <c r="AH175" s="446"/>
      <c r="AI175" s="446">
        <v>49.040427462445813</v>
      </c>
      <c r="AJ175" s="446"/>
    </row>
    <row r="176" spans="2:36" ht="18.75" hidden="1" x14ac:dyDescent="0.3">
      <c r="B176" s="7" t="s">
        <v>7</v>
      </c>
      <c r="C176" s="6" t="str">
        <f>IF(SQRT((ABS(AB176-D176))^2)/AB176&gt;0.02,"F","R")</f>
        <v>F</v>
      </c>
      <c r="D176" s="6"/>
      <c r="E176" s="6" t="str">
        <f>IF(SQRT((ABS(AD176-F176))^2)/AD176&gt;0.02,"F","R")</f>
        <v>F</v>
      </c>
      <c r="F176" s="6"/>
      <c r="G176" s="6"/>
      <c r="H176" s="6" t="str">
        <f>IF(SQRT((ABS(AG176-I176))^2)/AG176&gt;0.02,"F","R")</f>
        <v>F</v>
      </c>
      <c r="I176" s="6"/>
      <c r="J176" s="6" t="str">
        <f>IF(SQRT((ABS(AI176-K176))^2)/AI176&gt;0.02,"F","R")</f>
        <v>F</v>
      </c>
      <c r="K176" s="6"/>
      <c r="L176" s="107"/>
      <c r="N176" s="3"/>
      <c r="O176" s="3"/>
      <c r="P176" s="3"/>
      <c r="Q176" s="3"/>
      <c r="R176" s="3"/>
      <c r="S176" s="3"/>
      <c r="T176" s="3"/>
      <c r="U176" s="3"/>
      <c r="V176" s="3"/>
      <c r="W176" s="3"/>
      <c r="X176" s="3"/>
      <c r="Y176" s="3"/>
      <c r="Z176" s="3"/>
      <c r="AA176" s="437" t="s">
        <v>7</v>
      </c>
      <c r="AB176" s="446">
        <v>198.38</v>
      </c>
      <c r="AC176" s="446"/>
      <c r="AD176" s="446">
        <v>32</v>
      </c>
      <c r="AE176" s="446"/>
      <c r="AF176" s="437"/>
      <c r="AG176" s="446">
        <v>44.01</v>
      </c>
      <c r="AH176" s="446"/>
      <c r="AI176" s="446">
        <v>18.015999999999998</v>
      </c>
      <c r="AJ176" s="446"/>
    </row>
    <row r="177" spans="2:36" ht="18.75" hidden="1" x14ac:dyDescent="0.3">
      <c r="B177" s="7" t="s">
        <v>8</v>
      </c>
      <c r="C177" s="6" t="str">
        <f>IF(SQRT((ABS(AB177-D177))^2)/AB177&gt;0.02,"F","R")</f>
        <v>F</v>
      </c>
      <c r="D177" s="6"/>
      <c r="E177" s="6" t="str">
        <f>IF(SQRT((ABS(AD177-F177))^2)/AD177&gt;0.02,"F","R")</f>
        <v>F</v>
      </c>
      <c r="F177" s="6"/>
      <c r="G177" s="6"/>
      <c r="H177" s="6" t="str">
        <f>IF(SQRT((ABS(AG177-I177))^2)/AG177&gt;0.02,"F","R")</f>
        <v>F</v>
      </c>
      <c r="I177" s="6"/>
      <c r="J177" s="6" t="str">
        <f>IF(SQRT((ABS(AI177-K177))^2)/AI177&gt;0.02,"F","R")</f>
        <v>F</v>
      </c>
      <c r="K177" s="6"/>
      <c r="L177" s="107"/>
      <c r="N177" s="3"/>
      <c r="O177" s="3"/>
      <c r="P177" s="3"/>
      <c r="Q177" s="3"/>
      <c r="R177" s="3"/>
      <c r="S177" s="3"/>
      <c r="T177" s="3"/>
      <c r="U177" s="3"/>
      <c r="V177" s="3"/>
      <c r="W177" s="3"/>
      <c r="X177" s="3"/>
      <c r="Y177" s="3"/>
      <c r="Z177" s="3"/>
      <c r="AA177" s="437" t="s">
        <v>8</v>
      </c>
      <c r="AB177" s="446">
        <v>0.18146990624054846</v>
      </c>
      <c r="AC177" s="446"/>
      <c r="AD177" s="446">
        <v>3.9016029841717916</v>
      </c>
      <c r="AE177" s="446"/>
      <c r="AF177" s="437"/>
      <c r="AG177" s="446">
        <v>2.5405786873676783</v>
      </c>
      <c r="AH177" s="446"/>
      <c r="AI177" s="446">
        <v>2.722048593608227</v>
      </c>
      <c r="AJ177" s="446"/>
    </row>
    <row r="178" spans="2:36" ht="18.75" hidden="1" x14ac:dyDescent="0.3">
      <c r="B178" s="7" t="s">
        <v>9</v>
      </c>
      <c r="C178" s="6" t="str">
        <f>IF(SQRT((ABS(AB178-D178))^2)/AB178&gt;0.02,"F","R")</f>
        <v>F</v>
      </c>
      <c r="D178" s="6"/>
      <c r="E178" s="6" t="str">
        <f>IF(SQRT((ABS(AD178-F178))^2)/AD178&gt;0.02,"F","R")</f>
        <v>F</v>
      </c>
      <c r="F178" s="6"/>
      <c r="G178" s="6"/>
      <c r="H178" s="6" t="str">
        <f>IF(SQRT((ABS(AG178-I178))^2)/AG178&gt;0.02,"F","R")</f>
        <v>F</v>
      </c>
      <c r="I178" s="6"/>
      <c r="J178" s="6" t="str">
        <f>IF(SQRT((ABS(AI178-K178))^2)/AI178&gt;0.02,"F","R")</f>
        <v>F</v>
      </c>
      <c r="K178" s="6"/>
      <c r="L178" s="107"/>
      <c r="N178" s="3"/>
      <c r="O178" s="3"/>
      <c r="P178" s="3"/>
      <c r="Q178" s="3"/>
      <c r="R178" s="3"/>
      <c r="S178" s="3"/>
      <c r="T178" s="3"/>
      <c r="U178" s="3"/>
      <c r="V178" s="3"/>
      <c r="W178" s="3"/>
      <c r="X178" s="3"/>
      <c r="Y178" s="3"/>
      <c r="Z178" s="3"/>
      <c r="AA178" s="437" t="s">
        <v>9</v>
      </c>
      <c r="AB178" s="446">
        <v>2</v>
      </c>
      <c r="AC178" s="446"/>
      <c r="AD178" s="446">
        <v>43</v>
      </c>
      <c r="AE178" s="446"/>
      <c r="AF178" s="437"/>
      <c r="AG178" s="446">
        <v>28</v>
      </c>
      <c r="AH178" s="446"/>
      <c r="AI178" s="446">
        <v>30</v>
      </c>
      <c r="AJ178" s="446"/>
    </row>
    <row r="179" spans="2:36" hidden="1" x14ac:dyDescent="0.25">
      <c r="B179" s="106"/>
      <c r="C179" s="3"/>
      <c r="D179" s="3"/>
      <c r="E179" s="3"/>
      <c r="F179" s="3"/>
      <c r="G179" s="3"/>
      <c r="H179" s="3"/>
      <c r="I179" s="3"/>
      <c r="J179" s="3"/>
      <c r="K179" s="3"/>
      <c r="L179" s="107"/>
      <c r="N179" s="3"/>
      <c r="O179" s="3"/>
      <c r="P179" s="3"/>
      <c r="Q179" s="3"/>
      <c r="R179" s="3"/>
      <c r="S179" s="3"/>
      <c r="T179" s="3"/>
      <c r="U179" s="3"/>
      <c r="V179" s="3"/>
      <c r="W179" s="3"/>
      <c r="X179" s="3"/>
      <c r="Y179" s="3"/>
      <c r="Z179" s="3"/>
      <c r="AA179" s="437"/>
      <c r="AB179" s="437"/>
      <c r="AC179" s="437"/>
      <c r="AD179" s="437"/>
      <c r="AE179" s="437"/>
      <c r="AF179" s="437"/>
      <c r="AG179" s="437"/>
      <c r="AH179" s="437"/>
      <c r="AI179" s="437"/>
      <c r="AJ179" s="437"/>
    </row>
    <row r="180" spans="2:36" ht="18.75" hidden="1" x14ac:dyDescent="0.3">
      <c r="B180" s="6"/>
      <c r="C180" s="6"/>
      <c r="D180" s="7" t="str">
        <f>AC180</f>
        <v>C11H24</v>
      </c>
      <c r="E180" s="7"/>
      <c r="F180" s="7" t="s">
        <v>49</v>
      </c>
      <c r="G180" s="7" t="str">
        <f>AF180</f>
        <v>⟶</v>
      </c>
      <c r="H180" s="7"/>
      <c r="I180" s="7" t="s">
        <v>31</v>
      </c>
      <c r="J180" s="7"/>
      <c r="K180" s="7" t="s">
        <v>50</v>
      </c>
      <c r="L180" s="107"/>
      <c r="N180" s="3"/>
      <c r="O180" s="3"/>
      <c r="P180" s="3"/>
      <c r="Q180" s="3"/>
      <c r="R180" s="3"/>
      <c r="S180" s="3"/>
      <c r="T180" s="3"/>
      <c r="U180" s="3"/>
      <c r="V180" s="3"/>
      <c r="W180" s="3"/>
      <c r="X180" s="3"/>
      <c r="Y180" s="3"/>
      <c r="Z180" s="3"/>
      <c r="AA180" s="437"/>
      <c r="AB180" s="437">
        <v>1</v>
      </c>
      <c r="AC180" s="445" t="s">
        <v>24</v>
      </c>
      <c r="AD180" s="445">
        <v>17</v>
      </c>
      <c r="AE180" s="445" t="s">
        <v>3</v>
      </c>
      <c r="AF180" s="445" t="s">
        <v>48</v>
      </c>
      <c r="AG180" s="445">
        <v>11</v>
      </c>
      <c r="AH180" s="445" t="s">
        <v>4</v>
      </c>
      <c r="AI180" s="445">
        <v>12</v>
      </c>
      <c r="AJ180" s="445" t="s">
        <v>5</v>
      </c>
    </row>
    <row r="181" spans="2:36" ht="18.75" hidden="1" x14ac:dyDescent="0.3">
      <c r="B181" s="7" t="s">
        <v>6</v>
      </c>
      <c r="C181" s="6"/>
      <c r="D181" s="6">
        <f>AB181</f>
        <v>126</v>
      </c>
      <c r="E181" s="6" t="str">
        <f>IF(SQRT((ABS(AD181-F181))^2)/AD181&gt;0.02,"F","R")</f>
        <v>F</v>
      </c>
      <c r="F181" s="6"/>
      <c r="G181" s="6"/>
      <c r="H181" s="6" t="str">
        <f>IF(SQRT((ABS(AG181-I181))^2)/AG181&gt;0.02,"F","R")</f>
        <v>F</v>
      </c>
      <c r="I181" s="6"/>
      <c r="J181" s="6" t="str">
        <f>IF(SQRT((ABS(AI181-K181))^2)/AI181&gt;0.02,"F","R")</f>
        <v>F</v>
      </c>
      <c r="K181" s="6"/>
      <c r="L181" s="107"/>
      <c r="N181" s="3"/>
      <c r="O181" s="3"/>
      <c r="P181" s="3"/>
      <c r="Q181" s="3"/>
      <c r="R181" s="3"/>
      <c r="S181" s="3"/>
      <c r="T181" s="3"/>
      <c r="U181" s="3"/>
      <c r="V181" s="3"/>
      <c r="W181" s="3"/>
      <c r="X181" s="3"/>
      <c r="Y181" s="3"/>
      <c r="Z181" s="3"/>
      <c r="AA181" s="437" t="s">
        <v>6</v>
      </c>
      <c r="AB181" s="446">
        <v>126</v>
      </c>
      <c r="AC181" s="446"/>
      <c r="AD181" s="446">
        <v>438.53565533390491</v>
      </c>
      <c r="AE181" s="446"/>
      <c r="AF181" s="437"/>
      <c r="AG181" s="446">
        <v>390.25642666120717</v>
      </c>
      <c r="AH181" s="446"/>
      <c r="AI181" s="446">
        <v>174.27922867269771</v>
      </c>
      <c r="AJ181" s="446"/>
    </row>
    <row r="182" spans="2:36" ht="18.75" hidden="1" x14ac:dyDescent="0.3">
      <c r="B182" s="7" t="s">
        <v>7</v>
      </c>
      <c r="C182" s="6" t="str">
        <f>IF(SQRT((ABS(AB182-D182))^2)/AB182&gt;0.02,"F","R")</f>
        <v>F</v>
      </c>
      <c r="D182" s="6"/>
      <c r="E182" s="6" t="str">
        <f>IF(SQRT((ABS(AD182-F182))^2)/AD182&gt;0.02,"F","R")</f>
        <v>F</v>
      </c>
      <c r="F182" s="6"/>
      <c r="G182" s="6"/>
      <c r="H182" s="6" t="str">
        <f>IF(SQRT((ABS(AG182-I182))^2)/AG182&gt;0.02,"F","R")</f>
        <v>F</v>
      </c>
      <c r="I182" s="6"/>
      <c r="J182" s="6" t="str">
        <f>IF(SQRT((ABS(AI182-K182))^2)/AI182&gt;0.02,"F","R")</f>
        <v>F</v>
      </c>
      <c r="K182" s="6"/>
      <c r="L182" s="107"/>
      <c r="N182" s="3"/>
      <c r="O182" s="3"/>
      <c r="P182" s="3"/>
      <c r="Q182" s="3"/>
      <c r="R182" s="3"/>
      <c r="S182" s="3"/>
      <c r="T182" s="3"/>
      <c r="U182" s="3"/>
      <c r="V182" s="3"/>
      <c r="W182" s="3"/>
      <c r="X182" s="3"/>
      <c r="Y182" s="3"/>
      <c r="Z182" s="3"/>
      <c r="AA182" s="437" t="s">
        <v>7</v>
      </c>
      <c r="AB182" s="446">
        <v>156.30199999999999</v>
      </c>
      <c r="AC182" s="446"/>
      <c r="AD182" s="446">
        <v>32</v>
      </c>
      <c r="AE182" s="446"/>
      <c r="AF182" s="437"/>
      <c r="AG182" s="446">
        <v>44.01</v>
      </c>
      <c r="AH182" s="446"/>
      <c r="AI182" s="446">
        <v>18.015999999999998</v>
      </c>
      <c r="AJ182" s="446"/>
    </row>
    <row r="183" spans="2:36" ht="18.75" hidden="1" x14ac:dyDescent="0.3">
      <c r="B183" s="7" t="s">
        <v>8</v>
      </c>
      <c r="C183" s="6" t="str">
        <f>IF(SQRT((ABS(AB183-D183))^2)/AB183&gt;0.02,"F","R")</f>
        <v>F</v>
      </c>
      <c r="D183" s="6"/>
      <c r="E183" s="6" t="str">
        <f>IF(SQRT((ABS(AD183-F183))^2)/AD183&gt;0.02,"F","R")</f>
        <v>F</v>
      </c>
      <c r="F183" s="6"/>
      <c r="G183" s="6"/>
      <c r="H183" s="6" t="str">
        <f>IF(SQRT((ABS(AG183-I183))^2)/AG183&gt;0.02,"F","R")</f>
        <v>F</v>
      </c>
      <c r="I183" s="6"/>
      <c r="J183" s="6" t="str">
        <f>IF(SQRT((ABS(AI183-K183))^2)/AI183&gt;0.02,"F","R")</f>
        <v>F</v>
      </c>
      <c r="K183" s="6"/>
      <c r="L183" s="107"/>
      <c r="N183" s="3"/>
      <c r="O183" s="3"/>
      <c r="P183" s="3"/>
      <c r="Q183" s="3"/>
      <c r="R183" s="3"/>
      <c r="S183" s="3"/>
      <c r="T183" s="3"/>
      <c r="U183" s="3"/>
      <c r="V183" s="3"/>
      <c r="W183" s="3"/>
      <c r="X183" s="3"/>
      <c r="Y183" s="3"/>
      <c r="Z183" s="3"/>
      <c r="AA183" s="437" t="s">
        <v>8</v>
      </c>
      <c r="AB183" s="446">
        <v>0.8061317193637958</v>
      </c>
      <c r="AC183" s="446"/>
      <c r="AD183" s="446">
        <v>13.704239229184529</v>
      </c>
      <c r="AE183" s="446"/>
      <c r="AF183" s="437"/>
      <c r="AG183" s="446">
        <v>8.8674489130017538</v>
      </c>
      <c r="AH183" s="446"/>
      <c r="AI183" s="446">
        <v>9.6735806323655495</v>
      </c>
      <c r="AJ183" s="446"/>
    </row>
    <row r="184" spans="2:36" ht="18.75" hidden="1" x14ac:dyDescent="0.3">
      <c r="B184" s="7" t="s">
        <v>9</v>
      </c>
      <c r="C184" s="6" t="str">
        <f>IF(SQRT((ABS(AB184-D184))^2)/AB184&gt;0.02,"F","R")</f>
        <v>F</v>
      </c>
      <c r="D184" s="6"/>
      <c r="E184" s="6" t="str">
        <f>IF(SQRT((ABS(AD184-F184))^2)/AD184&gt;0.02,"F","R")</f>
        <v>F</v>
      </c>
      <c r="F184" s="6"/>
      <c r="G184" s="6"/>
      <c r="H184" s="6" t="str">
        <f>IF(SQRT((ABS(AG184-I184))^2)/AG184&gt;0.02,"F","R")</f>
        <v>F</v>
      </c>
      <c r="I184" s="6"/>
      <c r="J184" s="6" t="str">
        <f>IF(SQRT((ABS(AI184-K184))^2)/AI184&gt;0.02,"F","R")</f>
        <v>F</v>
      </c>
      <c r="K184" s="6"/>
      <c r="L184" s="107"/>
      <c r="N184" s="3"/>
      <c r="O184" s="3"/>
      <c r="P184" s="3"/>
      <c r="Q184" s="3"/>
      <c r="R184" s="3"/>
      <c r="S184" s="3"/>
      <c r="T184" s="3"/>
      <c r="U184" s="3"/>
      <c r="V184" s="3"/>
      <c r="W184" s="3"/>
      <c r="X184" s="3"/>
      <c r="Y184" s="3"/>
      <c r="Z184" s="3"/>
      <c r="AA184" s="437" t="s">
        <v>9</v>
      </c>
      <c r="AB184" s="446">
        <v>1</v>
      </c>
      <c r="AC184" s="446"/>
      <c r="AD184" s="446">
        <v>17</v>
      </c>
      <c r="AE184" s="446"/>
      <c r="AF184" s="437"/>
      <c r="AG184" s="446">
        <v>11</v>
      </c>
      <c r="AH184" s="446"/>
      <c r="AI184" s="446">
        <v>12</v>
      </c>
      <c r="AJ184" s="446"/>
    </row>
    <row r="185" spans="2:36" hidden="1" x14ac:dyDescent="0.25">
      <c r="B185" s="106"/>
      <c r="C185" s="3"/>
      <c r="D185" s="3"/>
      <c r="E185" s="3"/>
      <c r="F185" s="3"/>
      <c r="G185" s="3"/>
      <c r="H185" s="3"/>
      <c r="I185" s="3"/>
      <c r="J185" s="3"/>
      <c r="K185" s="3"/>
      <c r="L185" s="107"/>
      <c r="N185" s="3"/>
      <c r="O185" s="3"/>
      <c r="P185" s="3"/>
      <c r="Q185" s="3"/>
      <c r="R185" s="3"/>
      <c r="S185" s="3"/>
      <c r="T185" s="3"/>
      <c r="U185" s="3"/>
      <c r="V185" s="3"/>
      <c r="W185" s="3"/>
      <c r="X185" s="3"/>
      <c r="Y185" s="3"/>
      <c r="Z185" s="3"/>
      <c r="AA185" s="437"/>
      <c r="AB185" s="437"/>
      <c r="AC185" s="437"/>
      <c r="AD185" s="437"/>
      <c r="AE185" s="437"/>
      <c r="AF185" s="437"/>
      <c r="AG185" s="437"/>
      <c r="AH185" s="437"/>
      <c r="AI185" s="437"/>
      <c r="AJ185" s="437"/>
    </row>
    <row r="186" spans="2:36" ht="18.75" hidden="1" x14ac:dyDescent="0.3">
      <c r="B186" s="6"/>
      <c r="C186" s="6"/>
      <c r="D186" s="7" t="str">
        <f>AC186</f>
        <v>C2H5OH</v>
      </c>
      <c r="E186" s="7"/>
      <c r="F186" s="7" t="s">
        <v>49</v>
      </c>
      <c r="G186" s="7" t="str">
        <f>AF186</f>
        <v>⟶</v>
      </c>
      <c r="H186" s="7"/>
      <c r="I186" s="7" t="s">
        <v>31</v>
      </c>
      <c r="J186" s="7"/>
      <c r="K186" s="7" t="s">
        <v>50</v>
      </c>
      <c r="L186" s="107"/>
      <c r="N186" s="3"/>
      <c r="O186" s="3"/>
      <c r="P186" s="3"/>
      <c r="Q186" s="3"/>
      <c r="R186" s="3"/>
      <c r="S186" s="3"/>
      <c r="T186" s="3"/>
      <c r="U186" s="3"/>
      <c r="V186" s="3"/>
      <c r="W186" s="3"/>
      <c r="X186" s="3"/>
      <c r="Y186" s="3"/>
      <c r="Z186" s="3"/>
      <c r="AA186" s="437"/>
      <c r="AB186" s="437">
        <v>1</v>
      </c>
      <c r="AC186" s="445" t="s">
        <v>28</v>
      </c>
      <c r="AD186" s="445">
        <v>3</v>
      </c>
      <c r="AE186" s="445" t="s">
        <v>3</v>
      </c>
      <c r="AF186" s="445" t="s">
        <v>48</v>
      </c>
      <c r="AG186" s="445">
        <v>2</v>
      </c>
      <c r="AH186" s="445" t="s">
        <v>4</v>
      </c>
      <c r="AI186" s="445">
        <v>3</v>
      </c>
      <c r="AJ186" s="445" t="s">
        <v>5</v>
      </c>
    </row>
    <row r="187" spans="2:36" ht="18.75" hidden="1" x14ac:dyDescent="0.3">
      <c r="B187" s="7" t="s">
        <v>6</v>
      </c>
      <c r="C187" s="6"/>
      <c r="D187" s="6">
        <f>AB187</f>
        <v>88</v>
      </c>
      <c r="E187" s="6" t="str">
        <f>IF(SQRT((ABS(AD187-F187))^2)/AD187&gt;0.02,"F","R")</f>
        <v>F</v>
      </c>
      <c r="F187" s="6"/>
      <c r="G187" s="6"/>
      <c r="H187" s="6" t="str">
        <f>IF(SQRT((ABS(AG187-I187))^2)/AG187&gt;0.02,"F","R")</f>
        <v>F</v>
      </c>
      <c r="I187" s="6"/>
      <c r="J187" s="6" t="str">
        <f>IF(SQRT((ABS(AI187-K187))^2)/AI187&gt;0.02,"F","R")</f>
        <v>F</v>
      </c>
      <c r="K187" s="6"/>
      <c r="L187" s="107"/>
      <c r="N187" s="3"/>
      <c r="O187" s="3"/>
      <c r="P187" s="3"/>
      <c r="Q187" s="3"/>
      <c r="R187" s="3"/>
      <c r="S187" s="3"/>
      <c r="T187" s="3"/>
      <c r="U187" s="3"/>
      <c r="V187" s="3"/>
      <c r="W187" s="3"/>
      <c r="X187" s="3"/>
      <c r="Y187" s="3"/>
      <c r="Z187" s="3"/>
      <c r="AA187" s="437" t="s">
        <v>6</v>
      </c>
      <c r="AB187" s="446">
        <v>88</v>
      </c>
      <c r="AC187" s="446"/>
      <c r="AD187" s="446">
        <v>183.3810888252149</v>
      </c>
      <c r="AE187" s="446"/>
      <c r="AF187" s="437"/>
      <c r="AG187" s="446">
        <v>168.13753581661891</v>
      </c>
      <c r="AH187" s="446"/>
      <c r="AI187" s="446">
        <v>103.24355300859598</v>
      </c>
      <c r="AJ187" s="446"/>
    </row>
    <row r="188" spans="2:36" ht="18.75" hidden="1" x14ac:dyDescent="0.3">
      <c r="B188" s="7" t="s">
        <v>7</v>
      </c>
      <c r="C188" s="6" t="str">
        <f>IF(SQRT((ABS(AB188-D188))^2)/AB188&gt;0.02,"F","R")</f>
        <v>F</v>
      </c>
      <c r="D188" s="6"/>
      <c r="E188" s="6" t="str">
        <f>IF(SQRT((ABS(AD188-F188))^2)/AD188&gt;0.02,"F","R")</f>
        <v>F</v>
      </c>
      <c r="F188" s="6"/>
      <c r="G188" s="6"/>
      <c r="H188" s="6" t="str">
        <f>IF(SQRT((ABS(AG188-I188))^2)/AG188&gt;0.02,"F","R")</f>
        <v>F</v>
      </c>
      <c r="I188" s="6"/>
      <c r="J188" s="6" t="str">
        <f>IF(SQRT((ABS(AI188-K188))^2)/AI188&gt;0.02,"F","R")</f>
        <v>F</v>
      </c>
      <c r="K188" s="6"/>
      <c r="L188" s="107"/>
      <c r="N188" s="3"/>
      <c r="O188" s="3"/>
      <c r="P188" s="3"/>
      <c r="Q188" s="3"/>
      <c r="R188" s="3"/>
      <c r="S188" s="3"/>
      <c r="T188" s="3"/>
      <c r="U188" s="3"/>
      <c r="V188" s="3"/>
      <c r="W188" s="3"/>
      <c r="X188" s="3"/>
      <c r="Y188" s="3"/>
      <c r="Z188" s="3"/>
      <c r="AA188" s="437" t="s">
        <v>7</v>
      </c>
      <c r="AB188" s="446">
        <v>46.067999999999998</v>
      </c>
      <c r="AC188" s="446"/>
      <c r="AD188" s="446">
        <v>32</v>
      </c>
      <c r="AE188" s="446"/>
      <c r="AF188" s="437"/>
      <c r="AG188" s="446">
        <v>44.01</v>
      </c>
      <c r="AH188" s="446"/>
      <c r="AI188" s="446">
        <v>18.015999999999998</v>
      </c>
      <c r="AJ188" s="446"/>
    </row>
    <row r="189" spans="2:36" ht="18.75" hidden="1" x14ac:dyDescent="0.3">
      <c r="B189" s="7" t="s">
        <v>8</v>
      </c>
      <c r="C189" s="6" t="str">
        <f>IF(SQRT((ABS(AB189-D189))^2)/AB189&gt;0.02,"F","R")</f>
        <v>F</v>
      </c>
      <c r="D189" s="6"/>
      <c r="E189" s="6" t="str">
        <f>IF(SQRT((ABS(AD189-F189))^2)/AD189&gt;0.02,"F","R")</f>
        <v>F</v>
      </c>
      <c r="F189" s="6"/>
      <c r="G189" s="6"/>
      <c r="H189" s="6" t="str">
        <f>IF(SQRT((ABS(AG189-I189))^2)/AG189&gt;0.02,"F","R")</f>
        <v>F</v>
      </c>
      <c r="I189" s="6"/>
      <c r="J189" s="6" t="str">
        <f>IF(SQRT((ABS(AI189-K189))^2)/AI189&gt;0.02,"F","R")</f>
        <v>F</v>
      </c>
      <c r="K189" s="6"/>
      <c r="L189" s="107"/>
      <c r="N189" s="3"/>
      <c r="O189" s="3"/>
      <c r="P189" s="3"/>
      <c r="Q189" s="3"/>
      <c r="R189" s="3"/>
      <c r="S189" s="3"/>
      <c r="T189" s="3"/>
      <c r="U189" s="3"/>
      <c r="V189" s="3"/>
      <c r="W189" s="3"/>
      <c r="X189" s="3"/>
      <c r="Y189" s="3"/>
      <c r="Z189" s="3"/>
      <c r="AA189" s="437" t="s">
        <v>8</v>
      </c>
      <c r="AB189" s="446">
        <v>1.9102196752626552</v>
      </c>
      <c r="AC189" s="446"/>
      <c r="AD189" s="446">
        <v>5.7306590257879657</v>
      </c>
      <c r="AE189" s="446"/>
      <c r="AF189" s="437"/>
      <c r="AG189" s="446">
        <v>3.8204393505253105</v>
      </c>
      <c r="AH189" s="446"/>
      <c r="AI189" s="446">
        <v>5.7306590257879657</v>
      </c>
      <c r="AJ189" s="446"/>
    </row>
    <row r="190" spans="2:36" ht="18.75" hidden="1" x14ac:dyDescent="0.3">
      <c r="B190" s="7" t="s">
        <v>9</v>
      </c>
      <c r="C190" s="6" t="str">
        <f>IF(SQRT((ABS(AB190-D190))^2)/AB190&gt;0.02,"F","R")</f>
        <v>F</v>
      </c>
      <c r="D190" s="6"/>
      <c r="E190" s="6" t="str">
        <f>IF(SQRT((ABS(AD190-F190))^2)/AD190&gt;0.02,"F","R")</f>
        <v>F</v>
      </c>
      <c r="F190" s="6"/>
      <c r="G190" s="6"/>
      <c r="H190" s="6" t="str">
        <f>IF(SQRT((ABS(AG190-I190))^2)/AG190&gt;0.02,"F","R")</f>
        <v>F</v>
      </c>
      <c r="I190" s="6"/>
      <c r="J190" s="6" t="str">
        <f>IF(SQRT((ABS(AI190-K190))^2)/AI190&gt;0.02,"F","R")</f>
        <v>F</v>
      </c>
      <c r="K190" s="6"/>
      <c r="L190" s="107"/>
      <c r="N190" s="3"/>
      <c r="O190" s="3"/>
      <c r="P190" s="3"/>
      <c r="Q190" s="3"/>
      <c r="R190" s="3"/>
      <c r="S190" s="3"/>
      <c r="T190" s="3"/>
      <c r="U190" s="3"/>
      <c r="V190" s="3"/>
      <c r="W190" s="3"/>
      <c r="X190" s="3"/>
      <c r="Y190" s="3"/>
      <c r="Z190" s="3"/>
      <c r="AA190" s="437" t="s">
        <v>9</v>
      </c>
      <c r="AB190" s="446">
        <v>1</v>
      </c>
      <c r="AC190" s="446"/>
      <c r="AD190" s="446">
        <v>3</v>
      </c>
      <c r="AE190" s="446"/>
      <c r="AF190" s="437"/>
      <c r="AG190" s="446">
        <v>2</v>
      </c>
      <c r="AH190" s="446"/>
      <c r="AI190" s="446">
        <v>3</v>
      </c>
      <c r="AJ190" s="446"/>
    </row>
    <row r="191" spans="2:36" hidden="1" x14ac:dyDescent="0.25">
      <c r="B191" s="106"/>
      <c r="C191" s="3"/>
      <c r="D191" s="3"/>
      <c r="E191" s="3"/>
      <c r="F191" s="3"/>
      <c r="G191" s="3"/>
      <c r="H191" s="3"/>
      <c r="I191" s="3"/>
      <c r="J191" s="3"/>
      <c r="K191" s="3"/>
      <c r="L191" s="107"/>
      <c r="N191" s="3"/>
      <c r="O191" s="3"/>
      <c r="P191" s="3"/>
      <c r="Q191" s="3"/>
      <c r="R191" s="3"/>
      <c r="S191" s="3"/>
      <c r="T191" s="3"/>
      <c r="U191" s="3"/>
      <c r="V191" s="3"/>
      <c r="W191" s="3"/>
      <c r="X191" s="3"/>
      <c r="Y191" s="3"/>
      <c r="Z191" s="3"/>
      <c r="AA191" s="437"/>
      <c r="AB191" s="437"/>
      <c r="AC191" s="437"/>
      <c r="AD191" s="437"/>
      <c r="AE191" s="437"/>
      <c r="AF191" s="437"/>
      <c r="AG191" s="437"/>
      <c r="AH191" s="437"/>
      <c r="AI191" s="437"/>
      <c r="AJ191" s="437"/>
    </row>
    <row r="192" spans="2:36" ht="18.75" hidden="1" x14ac:dyDescent="0.3">
      <c r="B192" s="6"/>
      <c r="C192" s="6"/>
      <c r="D192" s="7" t="str">
        <f>AC192</f>
        <v>C13H28</v>
      </c>
      <c r="E192" s="7"/>
      <c r="F192" s="7" t="s">
        <v>49</v>
      </c>
      <c r="G192" s="7" t="str">
        <f>AF192</f>
        <v>⟶</v>
      </c>
      <c r="H192" s="7"/>
      <c r="I192" s="7" t="s">
        <v>31</v>
      </c>
      <c r="J192" s="7"/>
      <c r="K192" s="7" t="s">
        <v>50</v>
      </c>
      <c r="L192" s="107"/>
      <c r="N192" s="3"/>
      <c r="O192" s="3"/>
      <c r="P192" s="3"/>
      <c r="Q192" s="3"/>
      <c r="R192" s="3"/>
      <c r="S192" s="3"/>
      <c r="T192" s="3"/>
      <c r="U192" s="3"/>
      <c r="V192" s="3"/>
      <c r="W192" s="3"/>
      <c r="X192" s="3"/>
      <c r="Y192" s="3"/>
      <c r="Z192" s="3"/>
      <c r="AA192" s="437"/>
      <c r="AB192" s="437">
        <v>1</v>
      </c>
      <c r="AC192" s="445" t="s">
        <v>18</v>
      </c>
      <c r="AD192" s="445">
        <v>20</v>
      </c>
      <c r="AE192" s="445" t="s">
        <v>3</v>
      </c>
      <c r="AF192" s="445" t="s">
        <v>48</v>
      </c>
      <c r="AG192" s="445">
        <v>13</v>
      </c>
      <c r="AH192" s="445" t="s">
        <v>4</v>
      </c>
      <c r="AI192" s="445">
        <v>14</v>
      </c>
      <c r="AJ192" s="445" t="s">
        <v>5</v>
      </c>
    </row>
    <row r="193" spans="2:36" ht="18.75" hidden="1" x14ac:dyDescent="0.3">
      <c r="B193" s="7" t="s">
        <v>6</v>
      </c>
      <c r="C193" s="6"/>
      <c r="D193" s="6">
        <f>AB193</f>
        <v>59</v>
      </c>
      <c r="E193" s="6" t="str">
        <f>IF(SQRT((ABS(AD193-F193))^2)/AD193&gt;0.02,"F","R")</f>
        <v>F</v>
      </c>
      <c r="F193" s="6"/>
      <c r="G193" s="6"/>
      <c r="H193" s="6" t="str">
        <f>IF(SQRT((ABS(AG193-I193))^2)/AG193&gt;0.02,"F","R")</f>
        <v>F</v>
      </c>
      <c r="I193" s="6"/>
      <c r="J193" s="6" t="str">
        <f>IF(SQRT((ABS(AI193-K193))^2)/AI193&gt;0.02,"F","R")</f>
        <v>F</v>
      </c>
      <c r="K193" s="6"/>
      <c r="L193" s="107"/>
      <c r="N193" s="3"/>
      <c r="O193" s="3"/>
      <c r="P193" s="3"/>
      <c r="Q193" s="3"/>
      <c r="R193" s="3"/>
      <c r="S193" s="3"/>
      <c r="T193" s="3"/>
      <c r="U193" s="3"/>
      <c r="V193" s="3"/>
      <c r="W193" s="3"/>
      <c r="X193" s="3"/>
      <c r="Y193" s="3"/>
      <c r="Z193" s="3"/>
      <c r="AA193" s="437" t="s">
        <v>6</v>
      </c>
      <c r="AB193" s="446">
        <v>59</v>
      </c>
      <c r="AC193" s="446"/>
      <c r="AD193" s="446">
        <v>204.82332903001836</v>
      </c>
      <c r="AE193" s="446"/>
      <c r="AF193" s="437"/>
      <c r="AG193" s="446">
        <v>183.1024550592881</v>
      </c>
      <c r="AH193" s="446"/>
      <c r="AI193" s="446">
        <v>80.720873970730224</v>
      </c>
      <c r="AJ193" s="446"/>
    </row>
    <row r="194" spans="2:36" ht="18.75" hidden="1" x14ac:dyDescent="0.3">
      <c r="B194" s="7" t="s">
        <v>7</v>
      </c>
      <c r="C194" s="6" t="str">
        <f>IF(SQRT((ABS(AB194-D194))^2)/AB194&gt;0.02,"F","R")</f>
        <v>F</v>
      </c>
      <c r="D194" s="6"/>
      <c r="E194" s="6" t="str">
        <f>IF(SQRT((ABS(AD194-F194))^2)/AD194&gt;0.02,"F","R")</f>
        <v>F</v>
      </c>
      <c r="F194" s="6"/>
      <c r="G194" s="6"/>
      <c r="H194" s="6" t="str">
        <f>IF(SQRT((ABS(AG194-I194))^2)/AG194&gt;0.02,"F","R")</f>
        <v>F</v>
      </c>
      <c r="I194" s="6"/>
      <c r="J194" s="6" t="str">
        <f>IF(SQRT((ABS(AI194-K194))^2)/AI194&gt;0.02,"F","R")</f>
        <v>F</v>
      </c>
      <c r="K194" s="6"/>
      <c r="L194" s="107"/>
      <c r="N194" s="3"/>
      <c r="O194" s="3"/>
      <c r="P194" s="3"/>
      <c r="Q194" s="3"/>
      <c r="R194" s="3"/>
      <c r="S194" s="3"/>
      <c r="T194" s="3"/>
      <c r="U194" s="3"/>
      <c r="V194" s="3"/>
      <c r="W194" s="3"/>
      <c r="X194" s="3"/>
      <c r="Y194" s="3"/>
      <c r="Z194" s="3"/>
      <c r="AA194" s="437" t="s">
        <v>7</v>
      </c>
      <c r="AB194" s="446">
        <v>184.35399999999998</v>
      </c>
      <c r="AC194" s="446"/>
      <c r="AD194" s="446">
        <v>32</v>
      </c>
      <c r="AE194" s="446"/>
      <c r="AF194" s="437"/>
      <c r="AG194" s="446">
        <v>44.01</v>
      </c>
      <c r="AH194" s="446"/>
      <c r="AI194" s="446">
        <v>18.015999999999998</v>
      </c>
      <c r="AJ194" s="446"/>
    </row>
    <row r="195" spans="2:36" ht="18.75" hidden="1" x14ac:dyDescent="0.3">
      <c r="B195" s="7" t="s">
        <v>8</v>
      </c>
      <c r="C195" s="6" t="str">
        <f>IF(SQRT((ABS(AB195-D195))^2)/AB195&gt;0.02,"F","R")</f>
        <v>F</v>
      </c>
      <c r="D195" s="6"/>
      <c r="E195" s="6" t="str">
        <f>IF(SQRT((ABS(AD195-F195))^2)/AD195&gt;0.02,"F","R")</f>
        <v>F</v>
      </c>
      <c r="F195" s="6"/>
      <c r="G195" s="6"/>
      <c r="H195" s="6" t="str">
        <f>IF(SQRT((ABS(AG195-I195))^2)/AG195&gt;0.02,"F","R")</f>
        <v>F</v>
      </c>
      <c r="I195" s="6"/>
      <c r="J195" s="6" t="str">
        <f>IF(SQRT((ABS(AI195-K195))^2)/AI195&gt;0.02,"F","R")</f>
        <v>F</v>
      </c>
      <c r="K195" s="6"/>
      <c r="L195" s="107"/>
      <c r="N195" s="3"/>
      <c r="O195" s="3"/>
      <c r="P195" s="3"/>
      <c r="Q195" s="3"/>
      <c r="R195" s="3"/>
      <c r="S195" s="3"/>
      <c r="T195" s="3"/>
      <c r="U195" s="3"/>
      <c r="V195" s="3"/>
      <c r="W195" s="3"/>
      <c r="X195" s="3"/>
      <c r="Y195" s="3"/>
      <c r="Z195" s="3"/>
      <c r="AA195" s="437" t="s">
        <v>8</v>
      </c>
      <c r="AB195" s="446">
        <v>0.32003645160940369</v>
      </c>
      <c r="AC195" s="446"/>
      <c r="AD195" s="446">
        <v>6.4007290321880737</v>
      </c>
      <c r="AE195" s="446"/>
      <c r="AF195" s="437"/>
      <c r="AG195" s="446">
        <v>4.1604738709222477</v>
      </c>
      <c r="AH195" s="446"/>
      <c r="AI195" s="446">
        <v>4.4805103225316518</v>
      </c>
      <c r="AJ195" s="446"/>
    </row>
    <row r="196" spans="2:36" ht="18.75" hidden="1" x14ac:dyDescent="0.3">
      <c r="B196" s="7" t="s">
        <v>9</v>
      </c>
      <c r="C196" s="6" t="str">
        <f>IF(SQRT((ABS(AB196-D196))^2)/AB196&gt;0.02,"F","R")</f>
        <v>F</v>
      </c>
      <c r="D196" s="6"/>
      <c r="E196" s="6" t="str">
        <f>IF(SQRT((ABS(AD196-F196))^2)/AD196&gt;0.02,"F","R")</f>
        <v>F</v>
      </c>
      <c r="F196" s="6"/>
      <c r="G196" s="6"/>
      <c r="H196" s="6" t="str">
        <f>IF(SQRT((ABS(AG196-I196))^2)/AG196&gt;0.02,"F","R")</f>
        <v>F</v>
      </c>
      <c r="I196" s="6"/>
      <c r="J196" s="6" t="str">
        <f>IF(SQRT((ABS(AI196-K196))^2)/AI196&gt;0.02,"F","R")</f>
        <v>F</v>
      </c>
      <c r="K196" s="6"/>
      <c r="L196" s="107"/>
      <c r="N196" s="3"/>
      <c r="O196" s="3"/>
      <c r="P196" s="3"/>
      <c r="Q196" s="3"/>
      <c r="R196" s="3"/>
      <c r="S196" s="3"/>
      <c r="T196" s="3"/>
      <c r="U196" s="3"/>
      <c r="V196" s="3"/>
      <c r="W196" s="3"/>
      <c r="X196" s="3"/>
      <c r="Y196" s="3"/>
      <c r="Z196" s="3"/>
      <c r="AA196" s="437" t="s">
        <v>9</v>
      </c>
      <c r="AB196" s="446">
        <v>1</v>
      </c>
      <c r="AC196" s="446"/>
      <c r="AD196" s="446">
        <v>20</v>
      </c>
      <c r="AE196" s="446"/>
      <c r="AF196" s="437"/>
      <c r="AG196" s="446">
        <v>13</v>
      </c>
      <c r="AH196" s="446"/>
      <c r="AI196" s="446">
        <v>14</v>
      </c>
      <c r="AJ196" s="446"/>
    </row>
    <row r="197" spans="2:36" hidden="1" x14ac:dyDescent="0.25">
      <c r="B197" s="106"/>
      <c r="C197" s="3"/>
      <c r="D197" s="3"/>
      <c r="E197" s="3"/>
      <c r="F197" s="3"/>
      <c r="G197" s="3"/>
      <c r="H197" s="3"/>
      <c r="I197" s="3"/>
      <c r="J197" s="3"/>
      <c r="K197" s="3"/>
      <c r="L197" s="107"/>
      <c r="N197" s="3"/>
      <c r="O197" s="3"/>
      <c r="P197" s="3"/>
      <c r="Q197" s="3"/>
      <c r="R197" s="3"/>
      <c r="S197" s="3"/>
      <c r="T197" s="3"/>
      <c r="U197" s="3"/>
      <c r="V197" s="3"/>
      <c r="W197" s="3"/>
      <c r="X197" s="3"/>
      <c r="Y197" s="3"/>
      <c r="Z197" s="3"/>
      <c r="AA197" s="437"/>
      <c r="AB197" s="437"/>
      <c r="AC197" s="437"/>
      <c r="AD197" s="437"/>
      <c r="AE197" s="437"/>
      <c r="AF197" s="437"/>
      <c r="AG197" s="437"/>
      <c r="AH197" s="437"/>
      <c r="AI197" s="437"/>
      <c r="AJ197" s="437"/>
    </row>
    <row r="198" spans="2:36" ht="18.75" hidden="1" x14ac:dyDescent="0.3">
      <c r="B198" s="6"/>
      <c r="C198" s="6"/>
      <c r="D198" s="7" t="str">
        <f>AC198</f>
        <v>C3H8</v>
      </c>
      <c r="E198" s="7"/>
      <c r="F198" s="7" t="s">
        <v>49</v>
      </c>
      <c r="G198" s="7" t="str">
        <f>AF198</f>
        <v>⟶</v>
      </c>
      <c r="H198" s="7"/>
      <c r="I198" s="7" t="s">
        <v>31</v>
      </c>
      <c r="J198" s="7"/>
      <c r="K198" s="7" t="s">
        <v>50</v>
      </c>
      <c r="L198" s="107"/>
      <c r="N198" s="3"/>
      <c r="O198" s="3"/>
      <c r="P198" s="3"/>
      <c r="Q198" s="3"/>
      <c r="R198" s="3"/>
      <c r="S198" s="3"/>
      <c r="T198" s="3"/>
      <c r="U198" s="3"/>
      <c r="V198" s="3"/>
      <c r="W198" s="3"/>
      <c r="X198" s="3"/>
      <c r="Y198" s="3"/>
      <c r="Z198" s="3"/>
      <c r="AA198" s="437"/>
      <c r="AB198" s="437">
        <v>1</v>
      </c>
      <c r="AC198" s="445" t="s">
        <v>16</v>
      </c>
      <c r="AD198" s="445">
        <v>5</v>
      </c>
      <c r="AE198" s="445" t="s">
        <v>3</v>
      </c>
      <c r="AF198" s="445" t="s">
        <v>48</v>
      </c>
      <c r="AG198" s="445">
        <v>3</v>
      </c>
      <c r="AH198" s="445" t="s">
        <v>4</v>
      </c>
      <c r="AI198" s="445">
        <v>4</v>
      </c>
      <c r="AJ198" s="445" t="s">
        <v>5</v>
      </c>
    </row>
    <row r="199" spans="2:36" ht="18.75" hidden="1" x14ac:dyDescent="0.3">
      <c r="B199" s="7" t="s">
        <v>6</v>
      </c>
      <c r="C199" s="6"/>
      <c r="D199" s="6">
        <f>AB199</f>
        <v>146</v>
      </c>
      <c r="E199" s="6" t="str">
        <f>IF(SQRT((ABS(AD199-F199))^2)/AD199&gt;0.02,"F","R")</f>
        <v>F</v>
      </c>
      <c r="F199" s="6"/>
      <c r="G199" s="6"/>
      <c r="H199" s="6" t="str">
        <f>IF(SQRT((ABS(AG199-I199))^2)/AG199&gt;0.02,"F","R")</f>
        <v>F</v>
      </c>
      <c r="I199" s="6"/>
      <c r="J199" s="6" t="str">
        <f>IF(SQRT((ABS(AI199-K199))^2)/AI199&gt;0.02,"F","R")</f>
        <v>F</v>
      </c>
      <c r="K199" s="6"/>
      <c r="L199" s="107"/>
      <c r="N199" s="3"/>
      <c r="O199" s="3"/>
      <c r="P199" s="3"/>
      <c r="Q199" s="3"/>
      <c r="R199" s="3"/>
      <c r="S199" s="3"/>
      <c r="T199" s="3"/>
      <c r="U199" s="3"/>
      <c r="V199" s="3"/>
      <c r="W199" s="3"/>
      <c r="X199" s="3"/>
      <c r="Y199" s="3"/>
      <c r="Z199" s="3"/>
      <c r="AA199" s="437" t="s">
        <v>6</v>
      </c>
      <c r="AB199" s="446">
        <v>146</v>
      </c>
      <c r="AC199" s="446"/>
      <c r="AD199" s="446">
        <v>529.77729396289749</v>
      </c>
      <c r="AE199" s="446"/>
      <c r="AF199" s="437"/>
      <c r="AG199" s="446">
        <v>437.16560076200841</v>
      </c>
      <c r="AH199" s="446"/>
      <c r="AI199" s="446">
        <v>238.61169320088899</v>
      </c>
      <c r="AJ199" s="446"/>
    </row>
    <row r="200" spans="2:36" ht="18.75" hidden="1" x14ac:dyDescent="0.3">
      <c r="B200" s="7" t="s">
        <v>7</v>
      </c>
      <c r="C200" s="6" t="str">
        <f>IF(SQRT((ABS(AB200-D200))^2)/AB200&gt;0.02,"F","R")</f>
        <v>F</v>
      </c>
      <c r="D200" s="6"/>
      <c r="E200" s="6" t="str">
        <f>IF(SQRT((ABS(AD200-F200))^2)/AD200&gt;0.02,"F","R")</f>
        <v>F</v>
      </c>
      <c r="F200" s="6"/>
      <c r="G200" s="6"/>
      <c r="H200" s="6" t="str">
        <f>IF(SQRT((ABS(AG200-I200))^2)/AG200&gt;0.02,"F","R")</f>
        <v>F</v>
      </c>
      <c r="I200" s="6"/>
      <c r="J200" s="6" t="str">
        <f>IF(SQRT((ABS(AI200-K200))^2)/AI200&gt;0.02,"F","R")</f>
        <v>F</v>
      </c>
      <c r="K200" s="6"/>
      <c r="L200" s="107"/>
      <c r="N200" s="3"/>
      <c r="O200" s="3"/>
      <c r="P200" s="3"/>
      <c r="Q200" s="3"/>
      <c r="R200" s="3"/>
      <c r="S200" s="3"/>
      <c r="T200" s="3"/>
      <c r="U200" s="3"/>
      <c r="V200" s="3"/>
      <c r="W200" s="3"/>
      <c r="X200" s="3"/>
      <c r="Y200" s="3"/>
      <c r="Z200" s="3"/>
      <c r="AA200" s="437" t="s">
        <v>7</v>
      </c>
      <c r="AB200" s="446">
        <v>44.094000000000001</v>
      </c>
      <c r="AC200" s="446"/>
      <c r="AD200" s="446">
        <v>32</v>
      </c>
      <c r="AE200" s="446"/>
      <c r="AF200" s="437"/>
      <c r="AG200" s="446">
        <v>44.01</v>
      </c>
      <c r="AH200" s="446"/>
      <c r="AI200" s="446">
        <v>18.015999999999998</v>
      </c>
      <c r="AJ200" s="446"/>
    </row>
    <row r="201" spans="2:36" ht="18.75" hidden="1" x14ac:dyDescent="0.3">
      <c r="B201" s="7" t="s">
        <v>8</v>
      </c>
      <c r="C201" s="6" t="str">
        <f>IF(SQRT((ABS(AB201-D201))^2)/AB201&gt;0.02,"F","R")</f>
        <v>F</v>
      </c>
      <c r="D201" s="6"/>
      <c r="E201" s="6" t="str">
        <f>IF(SQRT((ABS(AD201-F201))^2)/AD201&gt;0.02,"F","R")</f>
        <v>F</v>
      </c>
      <c r="F201" s="6"/>
      <c r="G201" s="6"/>
      <c r="H201" s="6" t="str">
        <f>IF(SQRT((ABS(AG201-I201))^2)/AG201&gt;0.02,"F","R")</f>
        <v>F</v>
      </c>
      <c r="I201" s="6"/>
      <c r="J201" s="6" t="str">
        <f>IF(SQRT((ABS(AI201-K201))^2)/AI201&gt;0.02,"F","R")</f>
        <v>F</v>
      </c>
      <c r="K201" s="6"/>
      <c r="L201" s="107"/>
      <c r="N201" s="3"/>
      <c r="O201" s="3"/>
      <c r="P201" s="3"/>
      <c r="Q201" s="3"/>
      <c r="R201" s="3"/>
      <c r="S201" s="3"/>
      <c r="T201" s="3"/>
      <c r="U201" s="3"/>
      <c r="V201" s="3"/>
      <c r="W201" s="3"/>
      <c r="X201" s="3"/>
      <c r="Y201" s="3"/>
      <c r="Z201" s="3"/>
      <c r="AA201" s="437" t="s">
        <v>8</v>
      </c>
      <c r="AB201" s="446">
        <v>3.3111080872681091</v>
      </c>
      <c r="AC201" s="446"/>
      <c r="AD201" s="446">
        <v>16.555540436340547</v>
      </c>
      <c r="AE201" s="446"/>
      <c r="AF201" s="437"/>
      <c r="AG201" s="446">
        <v>9.9333242618043265</v>
      </c>
      <c r="AH201" s="446"/>
      <c r="AI201" s="446">
        <v>13.244432349072436</v>
      </c>
      <c r="AJ201" s="446"/>
    </row>
    <row r="202" spans="2:36" ht="18.75" hidden="1" x14ac:dyDescent="0.3">
      <c r="B202" s="7" t="s">
        <v>9</v>
      </c>
      <c r="C202" s="6" t="str">
        <f>IF(SQRT((ABS(AB202-D202))^2)/AB202&gt;0.02,"F","R")</f>
        <v>F</v>
      </c>
      <c r="D202" s="6"/>
      <c r="E202" s="6" t="str">
        <f>IF(SQRT((ABS(AD202-F202))^2)/AD202&gt;0.02,"F","R")</f>
        <v>F</v>
      </c>
      <c r="F202" s="6"/>
      <c r="G202" s="6"/>
      <c r="H202" s="6" t="str">
        <f>IF(SQRT((ABS(AG202-I202))^2)/AG202&gt;0.02,"F","R")</f>
        <v>F</v>
      </c>
      <c r="I202" s="6"/>
      <c r="J202" s="6" t="str">
        <f>IF(SQRT((ABS(AI202-K202))^2)/AI202&gt;0.02,"F","R")</f>
        <v>F</v>
      </c>
      <c r="K202" s="6"/>
      <c r="L202" s="107"/>
      <c r="N202" s="3"/>
      <c r="O202" s="3"/>
      <c r="P202" s="3"/>
      <c r="Q202" s="3"/>
      <c r="R202" s="3"/>
      <c r="S202" s="3"/>
      <c r="T202" s="3"/>
      <c r="U202" s="3"/>
      <c r="V202" s="3"/>
      <c r="W202" s="3"/>
      <c r="X202" s="3"/>
      <c r="Y202" s="3"/>
      <c r="Z202" s="3"/>
      <c r="AA202" s="437" t="s">
        <v>9</v>
      </c>
      <c r="AB202" s="446">
        <v>1</v>
      </c>
      <c r="AC202" s="446"/>
      <c r="AD202" s="446">
        <v>5</v>
      </c>
      <c r="AE202" s="446"/>
      <c r="AF202" s="437"/>
      <c r="AG202" s="446">
        <v>3</v>
      </c>
      <c r="AH202" s="446"/>
      <c r="AI202" s="446">
        <v>4</v>
      </c>
      <c r="AJ202" s="446"/>
    </row>
    <row r="203" spans="2:36" hidden="1" x14ac:dyDescent="0.25">
      <c r="B203" s="106"/>
      <c r="C203" s="3"/>
      <c r="D203" s="3"/>
      <c r="E203" s="3"/>
      <c r="F203" s="3"/>
      <c r="G203" s="3"/>
      <c r="H203" s="3"/>
      <c r="I203" s="3"/>
      <c r="J203" s="3"/>
      <c r="K203" s="3"/>
      <c r="L203" s="107"/>
      <c r="N203" s="3"/>
      <c r="O203" s="3"/>
      <c r="P203" s="3"/>
      <c r="Q203" s="3"/>
      <c r="R203" s="3"/>
      <c r="S203" s="3"/>
      <c r="T203" s="3"/>
      <c r="U203" s="3"/>
      <c r="V203" s="3"/>
      <c r="W203" s="3"/>
      <c r="X203" s="3"/>
      <c r="Y203" s="3"/>
      <c r="Z203" s="3"/>
      <c r="AA203" s="437"/>
      <c r="AB203" s="437"/>
      <c r="AC203" s="437"/>
      <c r="AD203" s="437"/>
      <c r="AE203" s="437"/>
      <c r="AF203" s="437"/>
      <c r="AG203" s="437"/>
      <c r="AH203" s="437"/>
      <c r="AI203" s="437"/>
      <c r="AJ203" s="437"/>
    </row>
    <row r="204" spans="2:36" ht="18.75" hidden="1" x14ac:dyDescent="0.3">
      <c r="B204" s="6"/>
      <c r="C204" s="6"/>
      <c r="D204" s="7" t="str">
        <f>AC204</f>
        <v>C4H9OH</v>
      </c>
      <c r="E204" s="7"/>
      <c r="F204" s="7" t="s">
        <v>49</v>
      </c>
      <c r="G204" s="7" t="str">
        <f>AF204</f>
        <v>⟶</v>
      </c>
      <c r="H204" s="7"/>
      <c r="I204" s="7" t="s">
        <v>31</v>
      </c>
      <c r="J204" s="7"/>
      <c r="K204" s="7" t="s">
        <v>50</v>
      </c>
      <c r="L204" s="107"/>
      <c r="N204" s="3"/>
      <c r="O204" s="3"/>
      <c r="P204" s="3"/>
      <c r="Q204" s="3"/>
      <c r="R204" s="3"/>
      <c r="S204" s="3"/>
      <c r="T204" s="3"/>
      <c r="U204" s="3"/>
      <c r="V204" s="3"/>
      <c r="W204" s="3"/>
      <c r="X204" s="3"/>
      <c r="Y204" s="3"/>
      <c r="Z204" s="3"/>
      <c r="AA204" s="437"/>
      <c r="AB204" s="437">
        <v>1</v>
      </c>
      <c r="AC204" s="445" t="s">
        <v>29</v>
      </c>
      <c r="AD204" s="445">
        <v>6</v>
      </c>
      <c r="AE204" s="445" t="s">
        <v>3</v>
      </c>
      <c r="AF204" s="445" t="s">
        <v>48</v>
      </c>
      <c r="AG204" s="445">
        <v>4</v>
      </c>
      <c r="AH204" s="445" t="s">
        <v>4</v>
      </c>
      <c r="AI204" s="445">
        <v>5</v>
      </c>
      <c r="AJ204" s="445" t="s">
        <v>5</v>
      </c>
    </row>
    <row r="205" spans="2:36" ht="18.75" hidden="1" x14ac:dyDescent="0.3">
      <c r="B205" s="7" t="s">
        <v>6</v>
      </c>
      <c r="C205" s="6"/>
      <c r="D205" s="6">
        <f>AB205</f>
        <v>98</v>
      </c>
      <c r="E205" s="6" t="str">
        <f>IF(SQRT((ABS(AD205-F205))^2)/AD205&gt;0.02,"F","R")</f>
        <v>F</v>
      </c>
      <c r="F205" s="6"/>
      <c r="G205" s="6"/>
      <c r="H205" s="6" t="str">
        <f>IF(SQRT((ABS(AG205-I205))^2)/AG205&gt;0.02,"F","R")</f>
        <v>F</v>
      </c>
      <c r="I205" s="6"/>
      <c r="J205" s="6" t="str">
        <f>IF(SQRT((ABS(AI205-K205))^2)/AI205&gt;0.02,"F","R")</f>
        <v>F</v>
      </c>
      <c r="K205" s="6"/>
      <c r="L205" s="107"/>
      <c r="N205" s="3"/>
      <c r="O205" s="3"/>
      <c r="P205" s="3"/>
      <c r="Q205" s="3"/>
      <c r="R205" s="3"/>
      <c r="S205" s="3"/>
      <c r="T205" s="3"/>
      <c r="U205" s="3"/>
      <c r="V205" s="3"/>
      <c r="W205" s="3"/>
      <c r="X205" s="3"/>
      <c r="Y205" s="3"/>
      <c r="Z205" s="3"/>
      <c r="AA205" s="437" t="s">
        <v>6</v>
      </c>
      <c r="AB205" s="446">
        <v>98</v>
      </c>
      <c r="AC205" s="446"/>
      <c r="AD205" s="446">
        <v>253.85860766324879</v>
      </c>
      <c r="AE205" s="446"/>
      <c r="AF205" s="437"/>
      <c r="AG205" s="446">
        <v>232.7566109012412</v>
      </c>
      <c r="AH205" s="446"/>
      <c r="AI205" s="446">
        <v>119.10199676200753</v>
      </c>
      <c r="AJ205" s="446"/>
    </row>
    <row r="206" spans="2:36" ht="18.75" hidden="1" x14ac:dyDescent="0.3">
      <c r="B206" s="7" t="s">
        <v>7</v>
      </c>
      <c r="C206" s="6" t="str">
        <f>IF(SQRT((ABS(AB206-D206))^2)/AB206&gt;0.02,"F","R")</f>
        <v>F</v>
      </c>
      <c r="D206" s="6"/>
      <c r="E206" s="6" t="str">
        <f>IF(SQRT((ABS(AD206-F206))^2)/AD206&gt;0.02,"F","R")</f>
        <v>F</v>
      </c>
      <c r="F206" s="6"/>
      <c r="G206" s="6"/>
      <c r="H206" s="6" t="str">
        <f>IF(SQRT((ABS(AG206-I206))^2)/AG206&gt;0.02,"F","R")</f>
        <v>F</v>
      </c>
      <c r="I206" s="6"/>
      <c r="J206" s="6" t="str">
        <f>IF(SQRT((ABS(AI206-K206))^2)/AI206&gt;0.02,"F","R")</f>
        <v>F</v>
      </c>
      <c r="K206" s="6"/>
      <c r="L206" s="107"/>
      <c r="N206" s="3"/>
      <c r="O206" s="3"/>
      <c r="P206" s="3"/>
      <c r="Q206" s="3"/>
      <c r="R206" s="3"/>
      <c r="S206" s="3"/>
      <c r="T206" s="3"/>
      <c r="U206" s="3"/>
      <c r="V206" s="3"/>
      <c r="W206" s="3"/>
      <c r="X206" s="3"/>
      <c r="Y206" s="3"/>
      <c r="Z206" s="3"/>
      <c r="AA206" s="437" t="s">
        <v>7</v>
      </c>
      <c r="AB206" s="446">
        <v>74.12</v>
      </c>
      <c r="AC206" s="446"/>
      <c r="AD206" s="446">
        <v>32</v>
      </c>
      <c r="AE206" s="446"/>
      <c r="AF206" s="437"/>
      <c r="AG206" s="446">
        <v>44.01</v>
      </c>
      <c r="AH206" s="446"/>
      <c r="AI206" s="446">
        <v>18.015999999999998</v>
      </c>
      <c r="AJ206" s="446"/>
    </row>
    <row r="207" spans="2:36" ht="18.75" hidden="1" x14ac:dyDescent="0.3">
      <c r="B207" s="7" t="s">
        <v>8</v>
      </c>
      <c r="C207" s="6" t="str">
        <f>IF(SQRT((ABS(AB207-D207))^2)/AB207&gt;0.02,"F","R")</f>
        <v>F</v>
      </c>
      <c r="D207" s="6"/>
      <c r="E207" s="6" t="str">
        <f>IF(SQRT((ABS(AD207-F207))^2)/AD207&gt;0.02,"F","R")</f>
        <v>F</v>
      </c>
      <c r="F207" s="6"/>
      <c r="G207" s="6"/>
      <c r="H207" s="6" t="str">
        <f>IF(SQRT((ABS(AG207-I207))^2)/AG207&gt;0.02,"F","R")</f>
        <v>F</v>
      </c>
      <c r="I207" s="6"/>
      <c r="J207" s="6" t="str">
        <f>IF(SQRT((ABS(AI207-K207))^2)/AI207&gt;0.02,"F","R")</f>
        <v>F</v>
      </c>
      <c r="K207" s="6"/>
      <c r="L207" s="107"/>
      <c r="N207" s="3"/>
      <c r="O207" s="3"/>
      <c r="P207" s="3"/>
      <c r="Q207" s="3"/>
      <c r="R207" s="3"/>
      <c r="S207" s="3"/>
      <c r="T207" s="3"/>
      <c r="U207" s="3"/>
      <c r="V207" s="3"/>
      <c r="W207" s="3"/>
      <c r="X207" s="3"/>
      <c r="Y207" s="3"/>
      <c r="Z207" s="3"/>
      <c r="AA207" s="437" t="s">
        <v>8</v>
      </c>
      <c r="AB207" s="446">
        <v>1.3221802482460874</v>
      </c>
      <c r="AC207" s="446"/>
      <c r="AD207" s="446">
        <v>7.9330814894765247</v>
      </c>
      <c r="AE207" s="446"/>
      <c r="AF207" s="437"/>
      <c r="AG207" s="446">
        <v>5.2887209929843495</v>
      </c>
      <c r="AH207" s="446"/>
      <c r="AI207" s="446">
        <v>6.6109012412304367</v>
      </c>
      <c r="AJ207" s="446"/>
    </row>
    <row r="208" spans="2:36" ht="18.75" hidden="1" x14ac:dyDescent="0.3">
      <c r="B208" s="7" t="s">
        <v>9</v>
      </c>
      <c r="C208" s="6" t="str">
        <f>IF(SQRT((ABS(AB208-D208))^2)/AB208&gt;0.02,"F","R")</f>
        <v>F</v>
      </c>
      <c r="D208" s="6"/>
      <c r="E208" s="6" t="str">
        <f>IF(SQRT((ABS(AD208-F208))^2)/AD208&gt;0.02,"F","R")</f>
        <v>F</v>
      </c>
      <c r="F208" s="6"/>
      <c r="G208" s="6"/>
      <c r="H208" s="6" t="str">
        <f>IF(SQRT((ABS(AG208-I208))^2)/AG208&gt;0.02,"F","R")</f>
        <v>F</v>
      </c>
      <c r="I208" s="6"/>
      <c r="J208" s="6" t="str">
        <f>IF(SQRT((ABS(AI208-K208))^2)/AI208&gt;0.02,"F","R")</f>
        <v>F</v>
      </c>
      <c r="K208" s="6"/>
      <c r="L208" s="107"/>
      <c r="N208" s="3"/>
      <c r="O208" s="3"/>
      <c r="P208" s="3"/>
      <c r="Q208" s="3"/>
      <c r="R208" s="3"/>
      <c r="S208" s="3"/>
      <c r="T208" s="3"/>
      <c r="U208" s="3"/>
      <c r="V208" s="3"/>
      <c r="W208" s="3"/>
      <c r="X208" s="3"/>
      <c r="Y208" s="3"/>
      <c r="Z208" s="3"/>
      <c r="AA208" s="437" t="s">
        <v>9</v>
      </c>
      <c r="AB208" s="446">
        <v>1</v>
      </c>
      <c r="AC208" s="446"/>
      <c r="AD208" s="446">
        <v>6</v>
      </c>
      <c r="AE208" s="446"/>
      <c r="AF208" s="437"/>
      <c r="AG208" s="446">
        <v>4</v>
      </c>
      <c r="AH208" s="446"/>
      <c r="AI208" s="446">
        <v>5</v>
      </c>
      <c r="AJ208" s="446"/>
    </row>
    <row r="209" spans="2:36" x14ac:dyDescent="0.25">
      <c r="AA209" s="437"/>
      <c r="AB209" s="437"/>
      <c r="AC209" s="437"/>
      <c r="AD209" s="437"/>
      <c r="AE209" s="437"/>
      <c r="AF209" s="437"/>
      <c r="AG209" s="437"/>
      <c r="AH209" s="437"/>
      <c r="AI209" s="437"/>
      <c r="AJ209" s="437"/>
    </row>
    <row r="210" spans="2:36" ht="18.75" hidden="1" x14ac:dyDescent="0.3">
      <c r="B210" s="6"/>
      <c r="C210" s="6"/>
      <c r="D210" s="7" t="str">
        <f>AC210</f>
        <v>C8H16</v>
      </c>
      <c r="E210" s="7"/>
      <c r="F210" s="7" t="s">
        <v>49</v>
      </c>
      <c r="G210" s="7" t="str">
        <f>AF210</f>
        <v>⟶</v>
      </c>
      <c r="H210" s="7"/>
      <c r="I210" s="7" t="s">
        <v>31</v>
      </c>
      <c r="J210" s="7"/>
      <c r="K210" s="7" t="s">
        <v>50</v>
      </c>
      <c r="L210" s="107"/>
      <c r="N210" s="3"/>
      <c r="O210" s="3"/>
      <c r="P210" s="3"/>
      <c r="Q210" s="3"/>
      <c r="R210" s="3"/>
      <c r="S210" s="3"/>
      <c r="T210" s="3"/>
      <c r="U210" s="3"/>
      <c r="V210" s="3"/>
      <c r="W210" s="3"/>
      <c r="X210" s="3"/>
      <c r="Y210" s="3"/>
      <c r="Z210" s="3"/>
      <c r="AA210" s="437"/>
      <c r="AB210" s="437">
        <v>1</v>
      </c>
      <c r="AC210" s="445" t="s">
        <v>11</v>
      </c>
      <c r="AD210" s="445">
        <v>12</v>
      </c>
      <c r="AE210" s="445" t="s">
        <v>3</v>
      </c>
      <c r="AF210" s="445" t="s">
        <v>48</v>
      </c>
      <c r="AG210" s="445">
        <v>8</v>
      </c>
      <c r="AH210" s="445" t="s">
        <v>4</v>
      </c>
      <c r="AI210" s="445">
        <v>8</v>
      </c>
      <c r="AJ210" s="445" t="s">
        <v>5</v>
      </c>
    </row>
    <row r="211" spans="2:36" ht="18.75" hidden="1" x14ac:dyDescent="0.3">
      <c r="B211" s="7" t="s">
        <v>6</v>
      </c>
      <c r="C211" s="6"/>
      <c r="D211" s="6">
        <f>AB211</f>
        <v>74</v>
      </c>
      <c r="E211" s="6" t="str">
        <f>IF(SQRT((ABS(AD211-F211))^2)/AD211&gt;0.02,"F","R")</f>
        <v>F</v>
      </c>
      <c r="F211" s="6"/>
      <c r="G211" s="6"/>
      <c r="H211" s="6" t="str">
        <f>IF(SQRT((ABS(AG211-I211))^2)/AG211&gt;0.02,"F","R")</f>
        <v>F</v>
      </c>
      <c r="I211" s="6"/>
      <c r="J211" s="6" t="str">
        <f>IF(SQRT((ABS(AI211-K211))^2)/AI211&gt;0.02,"F","R")</f>
        <v>F</v>
      </c>
      <c r="K211" s="6"/>
      <c r="L211" s="107"/>
      <c r="N211" s="3"/>
      <c r="O211" s="3"/>
      <c r="P211" s="3"/>
      <c r="Q211" s="3"/>
      <c r="R211" s="3"/>
      <c r="S211" s="3"/>
      <c r="T211" s="3"/>
      <c r="U211" s="3"/>
      <c r="V211" s="3"/>
      <c r="W211" s="3"/>
      <c r="X211" s="3"/>
      <c r="Y211" s="3"/>
      <c r="Z211" s="3"/>
      <c r="AA211" s="437" t="s">
        <v>6</v>
      </c>
      <c r="AB211" s="446">
        <v>74</v>
      </c>
      <c r="AC211" s="446"/>
      <c r="AD211" s="446">
        <v>253.24397547411948</v>
      </c>
      <c r="AE211" s="446"/>
      <c r="AF211" s="437"/>
      <c r="AG211" s="446">
        <v>232.19307001283329</v>
      </c>
      <c r="AH211" s="446"/>
      <c r="AI211" s="446">
        <v>95.050905461286163</v>
      </c>
      <c r="AJ211" s="446"/>
    </row>
    <row r="212" spans="2:36" ht="18.75" hidden="1" x14ac:dyDescent="0.3">
      <c r="B212" s="7" t="s">
        <v>7</v>
      </c>
      <c r="C212" s="6" t="str">
        <f>IF(SQRT((ABS(AB212-D212))^2)/AB212&gt;0.02,"F","R")</f>
        <v>F</v>
      </c>
      <c r="D212" s="6"/>
      <c r="E212" s="6" t="str">
        <f>IF(SQRT((ABS(AD212-F212))^2)/AD212&gt;0.02,"F","R")</f>
        <v>F</v>
      </c>
      <c r="F212" s="6"/>
      <c r="G212" s="6"/>
      <c r="H212" s="6" t="str">
        <f>IF(SQRT((ABS(AG212-I212))^2)/AG212&gt;0.02,"F","R")</f>
        <v>F</v>
      </c>
      <c r="I212" s="6"/>
      <c r="J212" s="6" t="str">
        <f>IF(SQRT((ABS(AI212-K212))^2)/AI212&gt;0.02,"F","R")</f>
        <v>F</v>
      </c>
      <c r="K212" s="6"/>
      <c r="L212" s="107"/>
      <c r="N212" s="3"/>
      <c r="O212" s="3"/>
      <c r="P212" s="3"/>
      <c r="Q212" s="3"/>
      <c r="R212" s="3"/>
      <c r="S212" s="3"/>
      <c r="T212" s="3"/>
      <c r="U212" s="3"/>
      <c r="V212" s="3"/>
      <c r="W212" s="3"/>
      <c r="X212" s="3"/>
      <c r="Y212" s="3"/>
      <c r="Z212" s="3"/>
      <c r="AA212" s="437" t="s">
        <v>7</v>
      </c>
      <c r="AB212" s="446">
        <v>112.208</v>
      </c>
      <c r="AC212" s="446"/>
      <c r="AD212" s="446">
        <v>32</v>
      </c>
      <c r="AE212" s="446"/>
      <c r="AF212" s="437"/>
      <c r="AG212" s="446">
        <v>44.01</v>
      </c>
      <c r="AH212" s="446"/>
      <c r="AI212" s="446">
        <v>18.015999999999998</v>
      </c>
      <c r="AJ212" s="446"/>
    </row>
    <row r="213" spans="2:36" ht="18.75" hidden="1" x14ac:dyDescent="0.3">
      <c r="B213" s="7" t="s">
        <v>8</v>
      </c>
      <c r="C213" s="6" t="str">
        <f>IF(SQRT((ABS(AB213-D213))^2)/AB213&gt;0.02,"F","R")</f>
        <v>F</v>
      </c>
      <c r="D213" s="6"/>
      <c r="E213" s="6" t="str">
        <f>IF(SQRT((ABS(AD213-F213))^2)/AD213&gt;0.02,"F","R")</f>
        <v>F</v>
      </c>
      <c r="F213" s="6"/>
      <c r="G213" s="6"/>
      <c r="H213" s="6" t="str">
        <f>IF(SQRT((ABS(AG213-I213))^2)/AG213&gt;0.02,"F","R")</f>
        <v>F</v>
      </c>
      <c r="I213" s="6"/>
      <c r="J213" s="6" t="str">
        <f>IF(SQRT((ABS(AI213-K213))^2)/AI213&gt;0.02,"F","R")</f>
        <v>F</v>
      </c>
      <c r="K213" s="6"/>
      <c r="L213" s="107"/>
      <c r="N213" s="3"/>
      <c r="O213" s="3"/>
      <c r="P213" s="3"/>
      <c r="Q213" s="3"/>
      <c r="R213" s="3"/>
      <c r="S213" s="3"/>
      <c r="T213" s="3"/>
      <c r="U213" s="3"/>
      <c r="V213" s="3"/>
      <c r="W213" s="3"/>
      <c r="X213" s="3"/>
      <c r="Y213" s="3"/>
      <c r="Z213" s="3"/>
      <c r="AA213" s="437" t="s">
        <v>8</v>
      </c>
      <c r="AB213" s="446">
        <v>0.65948951946385281</v>
      </c>
      <c r="AC213" s="446"/>
      <c r="AD213" s="446">
        <v>7.9138742335662338</v>
      </c>
      <c r="AE213" s="446"/>
      <c r="AF213" s="437"/>
      <c r="AG213" s="446">
        <v>5.2759161557108225</v>
      </c>
      <c r="AH213" s="446"/>
      <c r="AI213" s="446">
        <v>5.2759161557108225</v>
      </c>
      <c r="AJ213" s="446"/>
    </row>
    <row r="214" spans="2:36" ht="18.75" hidden="1" x14ac:dyDescent="0.3">
      <c r="B214" s="7" t="s">
        <v>9</v>
      </c>
      <c r="C214" s="6" t="str">
        <f>IF(SQRT((ABS(AB214-D214))^2)/AB214&gt;0.02,"F","R")</f>
        <v>F</v>
      </c>
      <c r="D214" s="6"/>
      <c r="E214" s="6" t="str">
        <f>IF(SQRT((ABS(AD214-F214))^2)/AD214&gt;0.02,"F","R")</f>
        <v>F</v>
      </c>
      <c r="F214" s="6"/>
      <c r="G214" s="6"/>
      <c r="H214" s="6" t="str">
        <f>IF(SQRT((ABS(AG214-I214))^2)/AG214&gt;0.02,"F","R")</f>
        <v>F</v>
      </c>
      <c r="I214" s="6"/>
      <c r="J214" s="6" t="str">
        <f>IF(SQRT((ABS(AI214-K214))^2)/AI214&gt;0.02,"F","R")</f>
        <v>F</v>
      </c>
      <c r="K214" s="6"/>
      <c r="L214" s="107"/>
      <c r="N214" s="3"/>
      <c r="O214" s="3"/>
      <c r="P214" s="3"/>
      <c r="Q214" s="3"/>
      <c r="R214" s="3"/>
      <c r="S214" s="3"/>
      <c r="T214" s="3"/>
      <c r="U214" s="3"/>
      <c r="V214" s="3"/>
      <c r="W214" s="3"/>
      <c r="X214" s="3"/>
      <c r="Y214" s="3"/>
      <c r="Z214" s="3"/>
      <c r="AA214" s="437" t="s">
        <v>9</v>
      </c>
      <c r="AB214" s="446">
        <v>1</v>
      </c>
      <c r="AC214" s="446"/>
      <c r="AD214" s="446">
        <v>12</v>
      </c>
      <c r="AE214" s="446"/>
      <c r="AF214" s="437"/>
      <c r="AG214" s="446">
        <v>8</v>
      </c>
      <c r="AH214" s="446"/>
      <c r="AI214" s="446">
        <v>8</v>
      </c>
      <c r="AJ214" s="446"/>
    </row>
    <row r="215" spans="2:36" hidden="1" x14ac:dyDescent="0.25">
      <c r="B215" s="106"/>
      <c r="C215" s="3"/>
      <c r="D215" s="3"/>
      <c r="E215" s="3"/>
      <c r="F215" s="3"/>
      <c r="G215" s="3"/>
      <c r="H215" s="3"/>
      <c r="I215" s="3"/>
      <c r="J215" s="3"/>
      <c r="K215" s="3"/>
      <c r="L215" s="107"/>
      <c r="N215" s="3"/>
      <c r="O215" s="3"/>
      <c r="P215" s="3"/>
      <c r="Q215" s="3"/>
      <c r="R215" s="3"/>
      <c r="S215" s="3"/>
      <c r="T215" s="3"/>
      <c r="U215" s="3"/>
      <c r="V215" s="3"/>
      <c r="W215" s="3"/>
      <c r="X215" s="3"/>
      <c r="Y215" s="3"/>
      <c r="Z215" s="3"/>
      <c r="AA215" s="437"/>
      <c r="AB215" s="437"/>
      <c r="AC215" s="437"/>
      <c r="AD215" s="437"/>
      <c r="AE215" s="437"/>
      <c r="AF215" s="437"/>
      <c r="AG215" s="437"/>
      <c r="AH215" s="437"/>
      <c r="AI215" s="437"/>
      <c r="AJ215" s="437"/>
    </row>
    <row r="216" spans="2:36" ht="18.75" hidden="1" x14ac:dyDescent="0.3">
      <c r="B216" s="6"/>
      <c r="C216" s="6"/>
      <c r="D216" s="7" t="str">
        <f>AC216</f>
        <v>C8H18</v>
      </c>
      <c r="E216" s="7"/>
      <c r="F216" s="7" t="s">
        <v>49</v>
      </c>
      <c r="G216" s="7" t="str">
        <f>AF216</f>
        <v>⟶</v>
      </c>
      <c r="H216" s="7"/>
      <c r="I216" s="7" t="s">
        <v>31</v>
      </c>
      <c r="J216" s="7"/>
      <c r="K216" s="7" t="s">
        <v>50</v>
      </c>
      <c r="L216" s="107"/>
      <c r="N216" s="3"/>
      <c r="O216" s="3"/>
      <c r="P216" s="3"/>
      <c r="Q216" s="3"/>
      <c r="R216" s="3"/>
      <c r="S216" s="3"/>
      <c r="T216" s="3"/>
      <c r="U216" s="3"/>
      <c r="V216" s="3"/>
      <c r="W216" s="3"/>
      <c r="X216" s="3"/>
      <c r="Y216" s="3"/>
      <c r="Z216" s="3"/>
      <c r="AA216" s="437"/>
      <c r="AB216" s="437">
        <v>2</v>
      </c>
      <c r="AC216" s="445" t="s">
        <v>13</v>
      </c>
      <c r="AD216" s="445">
        <v>25</v>
      </c>
      <c r="AE216" s="445" t="s">
        <v>3</v>
      </c>
      <c r="AF216" s="445" t="s">
        <v>48</v>
      </c>
      <c r="AG216" s="445">
        <v>16</v>
      </c>
      <c r="AH216" s="445" t="s">
        <v>4</v>
      </c>
      <c r="AI216" s="445">
        <v>18</v>
      </c>
      <c r="AJ216" s="445" t="s">
        <v>5</v>
      </c>
    </row>
    <row r="217" spans="2:36" ht="18.75" hidden="1" x14ac:dyDescent="0.3">
      <c r="B217" s="7" t="s">
        <v>6</v>
      </c>
      <c r="C217" s="6"/>
      <c r="D217" s="6">
        <f>AB217</f>
        <v>134</v>
      </c>
      <c r="E217" s="6" t="str">
        <f>IF(SQRT((ABS(AD217-F217))^2)/AD217&gt;0.02,"F","R")</f>
        <v>F</v>
      </c>
      <c r="F217" s="6"/>
      <c r="G217" s="6"/>
      <c r="H217" s="6" t="str">
        <f>IF(SQRT((ABS(AG217-I217))^2)/AG217&gt;0.02,"F","R")</f>
        <v>F</v>
      </c>
      <c r="I217" s="6"/>
      <c r="J217" s="6" t="str">
        <f>IF(SQRT((ABS(AI217-K217))^2)/AI217&gt;0.02,"F","R")</f>
        <v>F</v>
      </c>
      <c r="K217" s="6"/>
      <c r="L217" s="107"/>
      <c r="N217" s="3"/>
      <c r="O217" s="3"/>
      <c r="P217" s="3"/>
      <c r="Q217" s="3"/>
      <c r="R217" s="3"/>
      <c r="S217" s="3"/>
      <c r="T217" s="3"/>
      <c r="U217" s="3"/>
      <c r="V217" s="3"/>
      <c r="W217" s="3"/>
      <c r="X217" s="3"/>
      <c r="Y217" s="3"/>
      <c r="Z217" s="3"/>
      <c r="AA217" s="437" t="s">
        <v>6</v>
      </c>
      <c r="AB217" s="446">
        <v>134</v>
      </c>
      <c r="AC217" s="446"/>
      <c r="AD217" s="446">
        <v>469.25339683429053</v>
      </c>
      <c r="AE217" s="446"/>
      <c r="AF217" s="437"/>
      <c r="AG217" s="446">
        <v>413.03683989354255</v>
      </c>
      <c r="AH217" s="446"/>
      <c r="AI217" s="446">
        <v>190.21655694074801</v>
      </c>
      <c r="AJ217" s="446"/>
    </row>
    <row r="218" spans="2:36" ht="18.75" hidden="1" x14ac:dyDescent="0.3">
      <c r="B218" s="7" t="s">
        <v>7</v>
      </c>
      <c r="C218" s="6" t="str">
        <f>IF(SQRT((ABS(AB218-D218))^2)/AB218&gt;0.02,"F","R")</f>
        <v>F</v>
      </c>
      <c r="D218" s="6"/>
      <c r="E218" s="6" t="str">
        <f>IF(SQRT((ABS(AD218-F218))^2)/AD218&gt;0.02,"F","R")</f>
        <v>F</v>
      </c>
      <c r="F218" s="6"/>
      <c r="G218" s="6"/>
      <c r="H218" s="6" t="str">
        <f>IF(SQRT((ABS(AG218-I218))^2)/AG218&gt;0.02,"F","R")</f>
        <v>F</v>
      </c>
      <c r="I218" s="6"/>
      <c r="J218" s="6" t="str">
        <f>IF(SQRT((ABS(AI218-K218))^2)/AI218&gt;0.02,"F","R")</f>
        <v>F</v>
      </c>
      <c r="K218" s="6"/>
      <c r="L218" s="107"/>
      <c r="N218" s="3"/>
      <c r="O218" s="3"/>
      <c r="P218" s="3"/>
      <c r="Q218" s="3"/>
      <c r="R218" s="3"/>
      <c r="S218" s="3"/>
      <c r="T218" s="3"/>
      <c r="U218" s="3"/>
      <c r="V218" s="3"/>
      <c r="W218" s="3"/>
      <c r="X218" s="3"/>
      <c r="Y218" s="3"/>
      <c r="Z218" s="3"/>
      <c r="AA218" s="437" t="s">
        <v>7</v>
      </c>
      <c r="AB218" s="446">
        <v>114.22399999999999</v>
      </c>
      <c r="AC218" s="446"/>
      <c r="AD218" s="446">
        <v>32</v>
      </c>
      <c r="AE218" s="446"/>
      <c r="AF218" s="437"/>
      <c r="AG218" s="446">
        <v>44.01</v>
      </c>
      <c r="AH218" s="446"/>
      <c r="AI218" s="446">
        <v>18.015999999999998</v>
      </c>
      <c r="AJ218" s="446"/>
    </row>
    <row r="219" spans="2:36" ht="18.75" hidden="1" x14ac:dyDescent="0.3">
      <c r="B219" s="7" t="s">
        <v>8</v>
      </c>
      <c r="C219" s="6" t="str">
        <f>IF(SQRT((ABS(AB219-D219))^2)/AB219&gt;0.02,"F","R")</f>
        <v>F</v>
      </c>
      <c r="D219" s="6"/>
      <c r="E219" s="6" t="str">
        <f>IF(SQRT((ABS(AD219-F219))^2)/AD219&gt;0.02,"F","R")</f>
        <v>F</v>
      </c>
      <c r="F219" s="6"/>
      <c r="G219" s="6"/>
      <c r="H219" s="6" t="str">
        <f>IF(SQRT((ABS(AG219-I219))^2)/AG219&gt;0.02,"F","R")</f>
        <v>F</v>
      </c>
      <c r="I219" s="6"/>
      <c r="J219" s="6" t="str">
        <f>IF(SQRT((ABS(AI219-K219))^2)/AI219&gt;0.02,"F","R")</f>
        <v>F</v>
      </c>
      <c r="K219" s="6"/>
      <c r="L219" s="107"/>
      <c r="N219" s="3"/>
      <c r="O219" s="3"/>
      <c r="P219" s="3"/>
      <c r="Q219" s="3"/>
      <c r="R219" s="3"/>
      <c r="S219" s="3"/>
      <c r="T219" s="3"/>
      <c r="U219" s="3"/>
      <c r="V219" s="3"/>
      <c r="W219" s="3"/>
      <c r="X219" s="3"/>
      <c r="Y219" s="3"/>
      <c r="Z219" s="3"/>
      <c r="AA219" s="437" t="s">
        <v>8</v>
      </c>
      <c r="AB219" s="446">
        <v>1.1731334920857264</v>
      </c>
      <c r="AC219" s="446"/>
      <c r="AD219" s="446">
        <v>14.664168651071579</v>
      </c>
      <c r="AE219" s="446"/>
      <c r="AF219" s="437"/>
      <c r="AG219" s="446">
        <v>9.385067936685811</v>
      </c>
      <c r="AH219" s="446"/>
      <c r="AI219" s="446">
        <v>10.558201428771538</v>
      </c>
      <c r="AJ219" s="446"/>
    </row>
    <row r="220" spans="2:36" ht="18.75" hidden="1" x14ac:dyDescent="0.3">
      <c r="B220" s="7" t="s">
        <v>9</v>
      </c>
      <c r="C220" s="6" t="str">
        <f>IF(SQRT((ABS(AB220-D220))^2)/AB220&gt;0.02,"F","R")</f>
        <v>F</v>
      </c>
      <c r="D220" s="6"/>
      <c r="E220" s="6" t="str">
        <f>IF(SQRT((ABS(AD220-F220))^2)/AD220&gt;0.02,"F","R")</f>
        <v>F</v>
      </c>
      <c r="F220" s="6"/>
      <c r="G220" s="6"/>
      <c r="H220" s="6" t="str">
        <f>IF(SQRT((ABS(AG220-I220))^2)/AG220&gt;0.02,"F","R")</f>
        <v>F</v>
      </c>
      <c r="I220" s="6"/>
      <c r="J220" s="6" t="str">
        <f>IF(SQRT((ABS(AI220-K220))^2)/AI220&gt;0.02,"F","R")</f>
        <v>F</v>
      </c>
      <c r="K220" s="6"/>
      <c r="L220" s="107"/>
      <c r="N220" s="3"/>
      <c r="O220" s="3"/>
      <c r="P220" s="3"/>
      <c r="Q220" s="3"/>
      <c r="R220" s="3"/>
      <c r="S220" s="3"/>
      <c r="T220" s="3"/>
      <c r="U220" s="3"/>
      <c r="V220" s="3"/>
      <c r="W220" s="3"/>
      <c r="X220" s="3"/>
      <c r="Y220" s="3"/>
      <c r="Z220" s="3"/>
      <c r="AA220" s="437" t="s">
        <v>9</v>
      </c>
      <c r="AB220" s="446">
        <v>2</v>
      </c>
      <c r="AC220" s="446"/>
      <c r="AD220" s="446">
        <v>25</v>
      </c>
      <c r="AE220" s="446"/>
      <c r="AF220" s="437"/>
      <c r="AG220" s="446">
        <v>16</v>
      </c>
      <c r="AH220" s="446"/>
      <c r="AI220" s="446">
        <v>18</v>
      </c>
      <c r="AJ220" s="446"/>
    </row>
    <row r="221" spans="2:36" hidden="1" x14ac:dyDescent="0.25">
      <c r="B221" s="106"/>
      <c r="C221" s="3"/>
      <c r="D221" s="3"/>
      <c r="E221" s="3"/>
      <c r="F221" s="3"/>
      <c r="G221" s="3"/>
      <c r="H221" s="3"/>
      <c r="I221" s="3"/>
      <c r="J221" s="3"/>
      <c r="K221" s="3"/>
      <c r="L221" s="107"/>
      <c r="N221" s="3"/>
      <c r="O221" s="3"/>
      <c r="P221" s="3"/>
      <c r="Q221" s="3"/>
      <c r="R221" s="3"/>
      <c r="S221" s="3"/>
      <c r="T221" s="3"/>
      <c r="U221" s="3"/>
      <c r="V221" s="3"/>
      <c r="W221" s="3"/>
      <c r="X221" s="3"/>
      <c r="Y221" s="3"/>
      <c r="Z221" s="3"/>
      <c r="AA221" s="437"/>
      <c r="AB221" s="437"/>
      <c r="AC221" s="437"/>
      <c r="AD221" s="437"/>
      <c r="AE221" s="437"/>
      <c r="AF221" s="437"/>
      <c r="AG221" s="437"/>
      <c r="AH221" s="437"/>
      <c r="AI221" s="437"/>
      <c r="AJ221" s="437"/>
    </row>
    <row r="222" spans="2:36" ht="18.75" hidden="1" x14ac:dyDescent="0.3">
      <c r="B222" s="6"/>
      <c r="C222" s="6"/>
      <c r="D222" s="7" t="str">
        <f>AC222</f>
        <v>C7H14</v>
      </c>
      <c r="E222" s="7"/>
      <c r="F222" s="7" t="s">
        <v>49</v>
      </c>
      <c r="G222" s="7" t="str">
        <f>AF222</f>
        <v>⟶</v>
      </c>
      <c r="H222" s="7"/>
      <c r="I222" s="7" t="s">
        <v>31</v>
      </c>
      <c r="J222" s="7"/>
      <c r="K222" s="7" t="s">
        <v>50</v>
      </c>
      <c r="L222" s="107"/>
      <c r="N222" s="3"/>
      <c r="O222" s="3"/>
      <c r="P222" s="3"/>
      <c r="Q222" s="3"/>
      <c r="R222" s="3"/>
      <c r="S222" s="3"/>
      <c r="T222" s="3"/>
      <c r="U222" s="3"/>
      <c r="V222" s="3"/>
      <c r="W222" s="3"/>
      <c r="X222" s="3"/>
      <c r="Y222" s="3"/>
      <c r="Z222" s="3"/>
      <c r="AA222" s="437"/>
      <c r="AB222" s="437">
        <v>2</v>
      </c>
      <c r="AC222" s="445" t="s">
        <v>14</v>
      </c>
      <c r="AD222" s="445">
        <v>21</v>
      </c>
      <c r="AE222" s="445" t="s">
        <v>3</v>
      </c>
      <c r="AF222" s="445" t="s">
        <v>48</v>
      </c>
      <c r="AG222" s="445">
        <v>14</v>
      </c>
      <c r="AH222" s="445" t="s">
        <v>4</v>
      </c>
      <c r="AI222" s="445">
        <v>14</v>
      </c>
      <c r="AJ222" s="445" t="s">
        <v>5</v>
      </c>
    </row>
    <row r="223" spans="2:36" ht="18.75" hidden="1" x14ac:dyDescent="0.3">
      <c r="B223" s="7" t="s">
        <v>6</v>
      </c>
      <c r="C223" s="6"/>
      <c r="D223" s="6">
        <f>AB223</f>
        <v>185</v>
      </c>
      <c r="E223" s="6" t="str">
        <f>IF(SQRT((ABS(AD223-F223))^2)/AD223&gt;0.02,"F","R")</f>
        <v>F</v>
      </c>
      <c r="F223" s="6"/>
      <c r="G223" s="6"/>
      <c r="H223" s="6" t="str">
        <f>IF(SQRT((ABS(AG223-I223))^2)/AG223&gt;0.02,"F","R")</f>
        <v>F</v>
      </c>
      <c r="I223" s="6"/>
      <c r="J223" s="6" t="str">
        <f>IF(SQRT((ABS(AI223-K223))^2)/AI223&gt;0.02,"F","R")</f>
        <v>F</v>
      </c>
      <c r="K223" s="6"/>
      <c r="L223" s="107"/>
      <c r="N223" s="3"/>
      <c r="O223" s="3"/>
      <c r="P223" s="3"/>
      <c r="Q223" s="3"/>
      <c r="R223" s="3"/>
      <c r="S223" s="3"/>
      <c r="T223" s="3"/>
      <c r="U223" s="3"/>
      <c r="V223" s="3"/>
      <c r="W223" s="3"/>
      <c r="X223" s="3"/>
      <c r="Y223" s="3"/>
      <c r="Z223" s="3"/>
      <c r="AA223" s="437" t="s">
        <v>6</v>
      </c>
      <c r="AB223" s="446">
        <v>185</v>
      </c>
      <c r="AC223" s="446"/>
      <c r="AD223" s="446">
        <v>633.10993868529874</v>
      </c>
      <c r="AE223" s="446"/>
      <c r="AF223" s="437"/>
      <c r="AG223" s="446">
        <v>580.48267503208331</v>
      </c>
      <c r="AH223" s="446"/>
      <c r="AI223" s="446">
        <v>237.62726365321546</v>
      </c>
      <c r="AJ223" s="446"/>
    </row>
    <row r="224" spans="2:36" ht="18.75" hidden="1" x14ac:dyDescent="0.3">
      <c r="B224" s="7" t="s">
        <v>7</v>
      </c>
      <c r="C224" s="6" t="str">
        <f>IF(SQRT((ABS(AB224-D224))^2)/AB224&gt;0.02,"F","R")</f>
        <v>F</v>
      </c>
      <c r="D224" s="6"/>
      <c r="E224" s="6" t="str">
        <f>IF(SQRT((ABS(AD224-F224))^2)/AD224&gt;0.02,"F","R")</f>
        <v>F</v>
      </c>
      <c r="F224" s="6"/>
      <c r="G224" s="6"/>
      <c r="H224" s="6" t="str">
        <f>IF(SQRT((ABS(AG224-I224))^2)/AG224&gt;0.02,"F","R")</f>
        <v>F</v>
      </c>
      <c r="I224" s="6"/>
      <c r="J224" s="6" t="str">
        <f>IF(SQRT((ABS(AI224-K224))^2)/AI224&gt;0.02,"F","R")</f>
        <v>F</v>
      </c>
      <c r="K224" s="6"/>
      <c r="L224" s="107"/>
      <c r="N224" s="3"/>
      <c r="O224" s="3"/>
      <c r="P224" s="3"/>
      <c r="Q224" s="3"/>
      <c r="R224" s="3"/>
      <c r="S224" s="3"/>
      <c r="T224" s="3"/>
      <c r="U224" s="3"/>
      <c r="V224" s="3"/>
      <c r="W224" s="3"/>
      <c r="X224" s="3"/>
      <c r="Y224" s="3"/>
      <c r="Z224" s="3"/>
      <c r="AA224" s="437" t="s">
        <v>7</v>
      </c>
      <c r="AB224" s="446">
        <v>98.181999999999988</v>
      </c>
      <c r="AC224" s="446"/>
      <c r="AD224" s="446">
        <v>32</v>
      </c>
      <c r="AE224" s="446"/>
      <c r="AF224" s="437"/>
      <c r="AG224" s="446">
        <v>44.01</v>
      </c>
      <c r="AH224" s="446"/>
      <c r="AI224" s="446">
        <v>18.015999999999998</v>
      </c>
      <c r="AJ224" s="446"/>
    </row>
    <row r="225" spans="2:36" ht="18.75" hidden="1" x14ac:dyDescent="0.3">
      <c r="B225" s="7" t="s">
        <v>8</v>
      </c>
      <c r="C225" s="6" t="str">
        <f>IF(SQRT((ABS(AB225-D225))^2)/AB225&gt;0.02,"F","R")</f>
        <v>F</v>
      </c>
      <c r="D225" s="6"/>
      <c r="E225" s="6" t="str">
        <f>IF(SQRT((ABS(AD225-F225))^2)/AD225&gt;0.02,"F","R")</f>
        <v>F</v>
      </c>
      <c r="F225" s="6"/>
      <c r="G225" s="6"/>
      <c r="H225" s="6" t="str">
        <f>IF(SQRT((ABS(AG225-I225))^2)/AG225&gt;0.02,"F","R")</f>
        <v>F</v>
      </c>
      <c r="I225" s="6"/>
      <c r="J225" s="6" t="str">
        <f>IF(SQRT((ABS(AI225-K225))^2)/AI225&gt;0.02,"F","R")</f>
        <v>F</v>
      </c>
      <c r="K225" s="6"/>
      <c r="L225" s="107"/>
      <c r="N225" s="3"/>
      <c r="O225" s="3"/>
      <c r="P225" s="3"/>
      <c r="Q225" s="3"/>
      <c r="R225" s="3"/>
      <c r="S225" s="3"/>
      <c r="T225" s="3"/>
      <c r="U225" s="3"/>
      <c r="V225" s="3"/>
      <c r="W225" s="3"/>
      <c r="X225" s="3"/>
      <c r="Y225" s="3"/>
      <c r="Z225" s="3"/>
      <c r="AA225" s="437" t="s">
        <v>8</v>
      </c>
      <c r="AB225" s="446">
        <v>1.8842557698967226</v>
      </c>
      <c r="AC225" s="446"/>
      <c r="AD225" s="446">
        <v>19.784685583915586</v>
      </c>
      <c r="AE225" s="446"/>
      <c r="AF225" s="437"/>
      <c r="AG225" s="446">
        <v>13.189790389277059</v>
      </c>
      <c r="AH225" s="446"/>
      <c r="AI225" s="446">
        <v>13.189790389277059</v>
      </c>
      <c r="AJ225" s="446"/>
    </row>
    <row r="226" spans="2:36" ht="18.75" hidden="1" x14ac:dyDescent="0.3">
      <c r="B226" s="7" t="s">
        <v>9</v>
      </c>
      <c r="C226" s="6" t="str">
        <f>IF(SQRT((ABS(AB226-D226))^2)/AB226&gt;0.02,"F","R")</f>
        <v>F</v>
      </c>
      <c r="D226" s="6"/>
      <c r="E226" s="6" t="str">
        <f>IF(SQRT((ABS(AD226-F226))^2)/AD226&gt;0.02,"F","R")</f>
        <v>F</v>
      </c>
      <c r="F226" s="6"/>
      <c r="G226" s="6"/>
      <c r="H226" s="6" t="str">
        <f>IF(SQRT((ABS(AG226-I226))^2)/AG226&gt;0.02,"F","R")</f>
        <v>F</v>
      </c>
      <c r="I226" s="6"/>
      <c r="J226" s="6" t="str">
        <f>IF(SQRT((ABS(AI226-K226))^2)/AI226&gt;0.02,"F","R")</f>
        <v>F</v>
      </c>
      <c r="K226" s="6"/>
      <c r="L226" s="107"/>
      <c r="N226" s="3"/>
      <c r="O226" s="3"/>
      <c r="P226" s="3"/>
      <c r="Q226" s="3"/>
      <c r="R226" s="3"/>
      <c r="S226" s="3"/>
      <c r="T226" s="3"/>
      <c r="U226" s="3"/>
      <c r="V226" s="3"/>
      <c r="W226" s="3"/>
      <c r="X226" s="3"/>
      <c r="Y226" s="3"/>
      <c r="Z226" s="3"/>
      <c r="AA226" s="437" t="s">
        <v>9</v>
      </c>
      <c r="AB226" s="446">
        <v>2</v>
      </c>
      <c r="AC226" s="446"/>
      <c r="AD226" s="446">
        <v>21</v>
      </c>
      <c r="AE226" s="446"/>
      <c r="AF226" s="437"/>
      <c r="AG226" s="446">
        <v>14</v>
      </c>
      <c r="AH226" s="446"/>
      <c r="AI226" s="446">
        <v>14</v>
      </c>
      <c r="AJ226" s="446"/>
    </row>
    <row r="227" spans="2:36" hidden="1" x14ac:dyDescent="0.25">
      <c r="B227" s="106"/>
      <c r="C227" s="3"/>
      <c r="D227" s="3"/>
      <c r="E227" s="3"/>
      <c r="F227" s="3"/>
      <c r="G227" s="3"/>
      <c r="H227" s="3"/>
      <c r="I227" s="3"/>
      <c r="J227" s="3"/>
      <c r="K227" s="3"/>
      <c r="L227" s="107"/>
      <c r="N227" s="3"/>
      <c r="O227" s="3"/>
      <c r="P227" s="3"/>
      <c r="Q227" s="3"/>
      <c r="R227" s="3"/>
      <c r="S227" s="3"/>
      <c r="T227" s="3"/>
      <c r="U227" s="3"/>
      <c r="V227" s="3"/>
      <c r="W227" s="3"/>
      <c r="X227" s="3"/>
      <c r="Y227" s="3"/>
      <c r="Z227" s="3"/>
      <c r="AA227" s="437"/>
      <c r="AB227" s="437"/>
      <c r="AC227" s="437"/>
      <c r="AD227" s="437"/>
      <c r="AE227" s="437"/>
      <c r="AF227" s="437"/>
      <c r="AG227" s="437"/>
      <c r="AH227" s="437"/>
      <c r="AI227" s="437"/>
      <c r="AJ227" s="437"/>
    </row>
    <row r="228" spans="2:36" ht="18.75" hidden="1" x14ac:dyDescent="0.3">
      <c r="B228" s="6"/>
      <c r="C228" s="6"/>
      <c r="D228" s="7" t="str">
        <f>AC228</f>
        <v>C3H6</v>
      </c>
      <c r="E228" s="7"/>
      <c r="F228" s="7" t="s">
        <v>49</v>
      </c>
      <c r="G228" s="7" t="str">
        <f>AF228</f>
        <v>⟶</v>
      </c>
      <c r="H228" s="7"/>
      <c r="I228" s="7" t="s">
        <v>31</v>
      </c>
      <c r="J228" s="7"/>
      <c r="K228" s="7" t="s">
        <v>50</v>
      </c>
      <c r="L228" s="107"/>
      <c r="N228" s="3"/>
      <c r="O228" s="3"/>
      <c r="P228" s="3"/>
      <c r="Q228" s="3"/>
      <c r="R228" s="3"/>
      <c r="S228" s="3"/>
      <c r="T228" s="3"/>
      <c r="U228" s="3"/>
      <c r="V228" s="3"/>
      <c r="W228" s="3"/>
      <c r="X228" s="3"/>
      <c r="Y228" s="3"/>
      <c r="Z228" s="3"/>
      <c r="AA228" s="437"/>
      <c r="AB228" s="437">
        <v>2</v>
      </c>
      <c r="AC228" s="445" t="s">
        <v>22</v>
      </c>
      <c r="AD228" s="445">
        <v>9</v>
      </c>
      <c r="AE228" s="445" t="s">
        <v>3</v>
      </c>
      <c r="AF228" s="445" t="s">
        <v>48</v>
      </c>
      <c r="AG228" s="445">
        <v>6</v>
      </c>
      <c r="AH228" s="445" t="s">
        <v>4</v>
      </c>
      <c r="AI228" s="445">
        <v>6</v>
      </c>
      <c r="AJ228" s="445" t="s">
        <v>5</v>
      </c>
    </row>
    <row r="229" spans="2:36" ht="18.75" hidden="1" x14ac:dyDescent="0.3">
      <c r="B229" s="7" t="s">
        <v>6</v>
      </c>
      <c r="C229" s="6"/>
      <c r="D229" s="6">
        <f>AB229</f>
        <v>77</v>
      </c>
      <c r="E229" s="6" t="str">
        <f>IF(SQRT((ABS(AD229-F229))^2)/AD229&gt;0.02,"F","R")</f>
        <v>F</v>
      </c>
      <c r="F229" s="6"/>
      <c r="G229" s="6"/>
      <c r="H229" s="6" t="str">
        <f>IF(SQRT((ABS(AG229-I229))^2)/AG229&gt;0.02,"F","R")</f>
        <v>F</v>
      </c>
      <c r="I229" s="6"/>
      <c r="J229" s="6" t="str">
        <f>IF(SQRT((ABS(AI229-K229))^2)/AI229&gt;0.02,"F","R")</f>
        <v>F</v>
      </c>
      <c r="K229" s="6"/>
      <c r="L229" s="107"/>
      <c r="N229" s="3"/>
      <c r="O229" s="3"/>
      <c r="P229" s="3"/>
      <c r="Q229" s="3"/>
      <c r="R229" s="3"/>
      <c r="S229" s="3"/>
      <c r="T229" s="3"/>
      <c r="U229" s="3"/>
      <c r="V229" s="3"/>
      <c r="W229" s="3"/>
      <c r="X229" s="3"/>
      <c r="Y229" s="3"/>
      <c r="Z229" s="3"/>
      <c r="AA229" s="437" t="s">
        <v>6</v>
      </c>
      <c r="AB229" s="446">
        <v>77</v>
      </c>
      <c r="AC229" s="446"/>
      <c r="AD229" s="446">
        <v>263.51062312847569</v>
      </c>
      <c r="AE229" s="446"/>
      <c r="AF229" s="437"/>
      <c r="AG229" s="446">
        <v>241.60630258092112</v>
      </c>
      <c r="AH229" s="446"/>
      <c r="AI229" s="446">
        <v>98.904320547554534</v>
      </c>
      <c r="AJ229" s="446"/>
    </row>
    <row r="230" spans="2:36" ht="18.75" hidden="1" x14ac:dyDescent="0.3">
      <c r="B230" s="7" t="s">
        <v>7</v>
      </c>
      <c r="C230" s="6" t="str">
        <f>IF(SQRT((ABS(AB230-D230))^2)/AB230&gt;0.02,"F","R")</f>
        <v>F</v>
      </c>
      <c r="D230" s="6"/>
      <c r="E230" s="6" t="str">
        <f>IF(SQRT((ABS(AD230-F230))^2)/AD230&gt;0.02,"F","R")</f>
        <v>F</v>
      </c>
      <c r="F230" s="6"/>
      <c r="G230" s="6"/>
      <c r="H230" s="6" t="str">
        <f>IF(SQRT((ABS(AG230-I230))^2)/AG230&gt;0.02,"F","R")</f>
        <v>F</v>
      </c>
      <c r="I230" s="6"/>
      <c r="J230" s="6" t="str">
        <f>IF(SQRT((ABS(AI230-K230))^2)/AI230&gt;0.02,"F","R")</f>
        <v>F</v>
      </c>
      <c r="K230" s="6"/>
      <c r="L230" s="107"/>
      <c r="N230" s="3"/>
      <c r="O230" s="3"/>
      <c r="P230" s="3"/>
      <c r="Q230" s="3"/>
      <c r="R230" s="3"/>
      <c r="S230" s="3"/>
      <c r="T230" s="3"/>
      <c r="U230" s="3"/>
      <c r="V230" s="3"/>
      <c r="W230" s="3"/>
      <c r="X230" s="3"/>
      <c r="Y230" s="3"/>
      <c r="Z230" s="3"/>
      <c r="AA230" s="437" t="s">
        <v>7</v>
      </c>
      <c r="AB230" s="446">
        <v>42.078000000000003</v>
      </c>
      <c r="AC230" s="446"/>
      <c r="AD230" s="446">
        <v>32</v>
      </c>
      <c r="AE230" s="446"/>
      <c r="AF230" s="437"/>
      <c r="AG230" s="446">
        <v>44.01</v>
      </c>
      <c r="AH230" s="446"/>
      <c r="AI230" s="446">
        <v>18.015999999999998</v>
      </c>
      <c r="AJ230" s="446"/>
    </row>
    <row r="231" spans="2:36" ht="18.75" hidden="1" x14ac:dyDescent="0.3">
      <c r="B231" s="7" t="s">
        <v>8</v>
      </c>
      <c r="C231" s="6" t="str">
        <f>IF(SQRT((ABS(AB231-D231))^2)/AB231&gt;0.02,"F","R")</f>
        <v>F</v>
      </c>
      <c r="D231" s="6"/>
      <c r="E231" s="6" t="str">
        <f>IF(SQRT((ABS(AD231-F231))^2)/AD231&gt;0.02,"F","R")</f>
        <v>F</v>
      </c>
      <c r="F231" s="6"/>
      <c r="G231" s="6"/>
      <c r="H231" s="6" t="str">
        <f>IF(SQRT((ABS(AG231-I231))^2)/AG231&gt;0.02,"F","R")</f>
        <v>F</v>
      </c>
      <c r="I231" s="6"/>
      <c r="J231" s="6" t="str">
        <f>IF(SQRT((ABS(AI231-K231))^2)/AI231&gt;0.02,"F","R")</f>
        <v>F</v>
      </c>
      <c r="K231" s="6"/>
      <c r="L231" s="107"/>
      <c r="N231" s="3"/>
      <c r="O231" s="3"/>
      <c r="P231" s="3"/>
      <c r="Q231" s="3"/>
      <c r="R231" s="3"/>
      <c r="S231" s="3"/>
      <c r="T231" s="3"/>
      <c r="U231" s="3"/>
      <c r="V231" s="3"/>
      <c r="W231" s="3"/>
      <c r="X231" s="3"/>
      <c r="Y231" s="3"/>
      <c r="Z231" s="3"/>
      <c r="AA231" s="437" t="s">
        <v>8</v>
      </c>
      <c r="AB231" s="446">
        <v>1.8299348828366366</v>
      </c>
      <c r="AC231" s="446"/>
      <c r="AD231" s="446">
        <v>8.2347069727648652</v>
      </c>
      <c r="AE231" s="446"/>
      <c r="AF231" s="437"/>
      <c r="AG231" s="446">
        <v>5.4898046485099101</v>
      </c>
      <c r="AH231" s="446"/>
      <c r="AI231" s="446">
        <v>5.4898046485099101</v>
      </c>
      <c r="AJ231" s="446"/>
    </row>
    <row r="232" spans="2:36" ht="18.75" hidden="1" x14ac:dyDescent="0.3">
      <c r="B232" s="7" t="s">
        <v>9</v>
      </c>
      <c r="C232" s="6" t="str">
        <f>IF(SQRT((ABS(AB232-D232))^2)/AB232&gt;0.02,"F","R")</f>
        <v>F</v>
      </c>
      <c r="D232" s="6"/>
      <c r="E232" s="6" t="str">
        <f>IF(SQRT((ABS(AD232-F232))^2)/AD232&gt;0.02,"F","R")</f>
        <v>F</v>
      </c>
      <c r="F232" s="6"/>
      <c r="G232" s="6"/>
      <c r="H232" s="6" t="str">
        <f>IF(SQRT((ABS(AG232-I232))^2)/AG232&gt;0.02,"F","R")</f>
        <v>F</v>
      </c>
      <c r="I232" s="6"/>
      <c r="J232" s="6" t="str">
        <f>IF(SQRT((ABS(AI232-K232))^2)/AI232&gt;0.02,"F","R")</f>
        <v>F</v>
      </c>
      <c r="K232" s="6"/>
      <c r="L232" s="107"/>
      <c r="N232" s="3"/>
      <c r="O232" s="3"/>
      <c r="P232" s="3"/>
      <c r="Q232" s="3"/>
      <c r="R232" s="3"/>
      <c r="S232" s="3"/>
      <c r="T232" s="3"/>
      <c r="U232" s="3"/>
      <c r="V232" s="3"/>
      <c r="W232" s="3"/>
      <c r="X232" s="3"/>
      <c r="Y232" s="3"/>
      <c r="Z232" s="3"/>
      <c r="AA232" s="437" t="s">
        <v>9</v>
      </c>
      <c r="AB232" s="446">
        <v>2</v>
      </c>
      <c r="AC232" s="446"/>
      <c r="AD232" s="446">
        <v>9</v>
      </c>
      <c r="AE232" s="446"/>
      <c r="AF232" s="437"/>
      <c r="AG232" s="446">
        <v>6</v>
      </c>
      <c r="AH232" s="446"/>
      <c r="AI232" s="446">
        <v>6</v>
      </c>
      <c r="AJ232" s="446"/>
    </row>
    <row r="233" spans="2:36" hidden="1" x14ac:dyDescent="0.25">
      <c r="B233" s="106"/>
      <c r="C233" s="3"/>
      <c r="D233" s="3"/>
      <c r="E233" s="3"/>
      <c r="F233" s="3"/>
      <c r="G233" s="3"/>
      <c r="H233" s="3"/>
      <c r="I233" s="3"/>
      <c r="J233" s="3"/>
      <c r="K233" s="3"/>
      <c r="L233" s="107"/>
      <c r="N233" s="3"/>
      <c r="O233" s="3"/>
      <c r="P233" s="3"/>
      <c r="Q233" s="3"/>
      <c r="R233" s="3"/>
      <c r="S233" s="3"/>
      <c r="T233" s="3"/>
      <c r="U233" s="3"/>
      <c r="V233" s="3"/>
      <c r="W233" s="3"/>
      <c r="X233" s="3"/>
      <c r="Y233" s="3"/>
      <c r="Z233" s="3"/>
      <c r="AA233" s="437"/>
      <c r="AB233" s="437"/>
      <c r="AC233" s="437"/>
      <c r="AD233" s="437"/>
      <c r="AE233" s="437"/>
      <c r="AF233" s="437"/>
      <c r="AG233" s="437"/>
      <c r="AH233" s="437"/>
      <c r="AI233" s="437"/>
      <c r="AJ233" s="437"/>
    </row>
    <row r="234" spans="2:36" ht="18.75" hidden="1" x14ac:dyDescent="0.3">
      <c r="B234" s="6"/>
      <c r="C234" s="6"/>
      <c r="D234" s="7" t="str">
        <f>AC234</f>
        <v>C8H18</v>
      </c>
      <c r="E234" s="7"/>
      <c r="F234" s="7" t="s">
        <v>49</v>
      </c>
      <c r="G234" s="7" t="str">
        <f>AF234</f>
        <v>⟶</v>
      </c>
      <c r="H234" s="7"/>
      <c r="I234" s="7" t="s">
        <v>31</v>
      </c>
      <c r="J234" s="7"/>
      <c r="K234" s="7" t="s">
        <v>50</v>
      </c>
      <c r="L234" s="107"/>
      <c r="N234" s="3"/>
      <c r="O234" s="3"/>
      <c r="P234" s="3"/>
      <c r="Q234" s="3"/>
      <c r="R234" s="3"/>
      <c r="S234" s="3"/>
      <c r="T234" s="3"/>
      <c r="U234" s="3"/>
      <c r="V234" s="3"/>
      <c r="W234" s="3"/>
      <c r="X234" s="3"/>
      <c r="Y234" s="3"/>
      <c r="Z234" s="3"/>
      <c r="AA234" s="437"/>
      <c r="AB234" s="437">
        <v>2</v>
      </c>
      <c r="AC234" s="445" t="s">
        <v>13</v>
      </c>
      <c r="AD234" s="445">
        <v>25</v>
      </c>
      <c r="AE234" s="445" t="s">
        <v>3</v>
      </c>
      <c r="AF234" s="445" t="s">
        <v>48</v>
      </c>
      <c r="AG234" s="445">
        <v>16</v>
      </c>
      <c r="AH234" s="445" t="s">
        <v>4</v>
      </c>
      <c r="AI234" s="445">
        <v>18</v>
      </c>
      <c r="AJ234" s="445" t="s">
        <v>5</v>
      </c>
    </row>
    <row r="235" spans="2:36" ht="18.75" hidden="1" x14ac:dyDescent="0.3">
      <c r="B235" s="7" t="s">
        <v>6</v>
      </c>
      <c r="C235" s="6"/>
      <c r="D235" s="6">
        <f>AB235</f>
        <v>196</v>
      </c>
      <c r="E235" s="6" t="str">
        <f>IF(SQRT((ABS(AD235-F235))^2)/AD235&gt;0.02,"F","R")</f>
        <v>F</v>
      </c>
      <c r="F235" s="6"/>
      <c r="G235" s="6"/>
      <c r="H235" s="6" t="str">
        <f>IF(SQRT((ABS(AG235-I235))^2)/AG235&gt;0.02,"F","R")</f>
        <v>F</v>
      </c>
      <c r="I235" s="6"/>
      <c r="J235" s="6" t="str">
        <f>IF(SQRT((ABS(AI235-K235))^2)/AI235&gt;0.02,"F","R")</f>
        <v>F</v>
      </c>
      <c r="K235" s="6"/>
      <c r="L235" s="107"/>
      <c r="N235" s="3"/>
      <c r="O235" s="3"/>
      <c r="P235" s="3"/>
      <c r="Q235" s="3"/>
      <c r="R235" s="3"/>
      <c r="S235" s="3"/>
      <c r="T235" s="3"/>
      <c r="U235" s="3"/>
      <c r="V235" s="3"/>
      <c r="W235" s="3"/>
      <c r="X235" s="3"/>
      <c r="Y235" s="3"/>
      <c r="Z235" s="3"/>
      <c r="AA235" s="437" t="s">
        <v>6</v>
      </c>
      <c r="AB235" s="446">
        <v>196</v>
      </c>
      <c r="AC235" s="446"/>
      <c r="AD235" s="446">
        <v>686.37064014567875</v>
      </c>
      <c r="AE235" s="446"/>
      <c r="AF235" s="437"/>
      <c r="AG235" s="446">
        <v>604.14343745622637</v>
      </c>
      <c r="AH235" s="446"/>
      <c r="AI235" s="446">
        <v>278.22720268945233</v>
      </c>
      <c r="AJ235" s="446"/>
    </row>
    <row r="236" spans="2:36" ht="18.75" hidden="1" x14ac:dyDescent="0.3">
      <c r="B236" s="7" t="s">
        <v>7</v>
      </c>
      <c r="C236" s="6" t="str">
        <f>IF(SQRT((ABS(AB236-D236))^2)/AB236&gt;0.02,"F","R")</f>
        <v>F</v>
      </c>
      <c r="D236" s="6"/>
      <c r="E236" s="6" t="str">
        <f>IF(SQRT((ABS(AD236-F236))^2)/AD236&gt;0.02,"F","R")</f>
        <v>F</v>
      </c>
      <c r="F236" s="6"/>
      <c r="G236" s="6"/>
      <c r="H236" s="6" t="str">
        <f>IF(SQRT((ABS(AG236-I236))^2)/AG236&gt;0.02,"F","R")</f>
        <v>F</v>
      </c>
      <c r="I236" s="6"/>
      <c r="J236" s="6" t="str">
        <f>IF(SQRT((ABS(AI236-K236))^2)/AI236&gt;0.02,"F","R")</f>
        <v>F</v>
      </c>
      <c r="K236" s="6"/>
      <c r="L236" s="107"/>
      <c r="N236" s="3"/>
      <c r="O236" s="3"/>
      <c r="P236" s="3"/>
      <c r="Q236" s="3"/>
      <c r="R236" s="3"/>
      <c r="S236" s="3"/>
      <c r="T236" s="3"/>
      <c r="U236" s="3"/>
      <c r="V236" s="3"/>
      <c r="W236" s="3"/>
      <c r="X236" s="3"/>
      <c r="Y236" s="3"/>
      <c r="Z236" s="3"/>
      <c r="AA236" s="437" t="s">
        <v>7</v>
      </c>
      <c r="AB236" s="446">
        <v>114.22399999999999</v>
      </c>
      <c r="AC236" s="446"/>
      <c r="AD236" s="446">
        <v>32</v>
      </c>
      <c r="AE236" s="446"/>
      <c r="AF236" s="437"/>
      <c r="AG236" s="446">
        <v>44.01</v>
      </c>
      <c r="AH236" s="446"/>
      <c r="AI236" s="446">
        <v>18.015999999999998</v>
      </c>
      <c r="AJ236" s="446"/>
    </row>
    <row r="237" spans="2:36" ht="18.75" hidden="1" x14ac:dyDescent="0.3">
      <c r="B237" s="7" t="s">
        <v>8</v>
      </c>
      <c r="C237" s="6" t="str">
        <f>IF(SQRT((ABS(AB237-D237))^2)/AB237&gt;0.02,"F","R")</f>
        <v>F</v>
      </c>
      <c r="D237" s="6"/>
      <c r="E237" s="6" t="str">
        <f>IF(SQRT((ABS(AD237-F237))^2)/AD237&gt;0.02,"F","R")</f>
        <v>F</v>
      </c>
      <c r="F237" s="6"/>
      <c r="G237" s="6"/>
      <c r="H237" s="6" t="str">
        <f>IF(SQRT((ABS(AG237-I237))^2)/AG237&gt;0.02,"F","R")</f>
        <v>F</v>
      </c>
      <c r="I237" s="6"/>
      <c r="J237" s="6" t="str">
        <f>IF(SQRT((ABS(AI237-K237))^2)/AI237&gt;0.02,"F","R")</f>
        <v>F</v>
      </c>
      <c r="K237" s="6"/>
      <c r="L237" s="107"/>
      <c r="N237" s="3"/>
      <c r="O237" s="3"/>
      <c r="P237" s="3"/>
      <c r="Q237" s="3"/>
      <c r="R237" s="3"/>
      <c r="S237" s="3"/>
      <c r="T237" s="3"/>
      <c r="U237" s="3"/>
      <c r="V237" s="3"/>
      <c r="W237" s="3"/>
      <c r="X237" s="3"/>
      <c r="Y237" s="3"/>
      <c r="Z237" s="3"/>
      <c r="AA237" s="437" t="s">
        <v>8</v>
      </c>
      <c r="AB237" s="446">
        <v>1.7159266003641969</v>
      </c>
      <c r="AC237" s="446"/>
      <c r="AD237" s="446">
        <v>21.449082504552461</v>
      </c>
      <c r="AE237" s="446"/>
      <c r="AF237" s="437"/>
      <c r="AG237" s="446">
        <v>13.727412802913575</v>
      </c>
      <c r="AH237" s="446"/>
      <c r="AI237" s="446">
        <v>15.443339403277772</v>
      </c>
      <c r="AJ237" s="446"/>
    </row>
    <row r="238" spans="2:36" ht="18.75" hidden="1" x14ac:dyDescent="0.3">
      <c r="B238" s="7" t="s">
        <v>9</v>
      </c>
      <c r="C238" s="6" t="str">
        <f>IF(SQRT((ABS(AB238-D238))^2)/AB238&gt;0.02,"F","R")</f>
        <v>F</v>
      </c>
      <c r="D238" s="6"/>
      <c r="E238" s="6" t="str">
        <f>IF(SQRT((ABS(AD238-F238))^2)/AD238&gt;0.02,"F","R")</f>
        <v>F</v>
      </c>
      <c r="F238" s="6"/>
      <c r="G238" s="6"/>
      <c r="H238" s="6" t="str">
        <f>IF(SQRT((ABS(AG238-I238))^2)/AG238&gt;0.02,"F","R")</f>
        <v>F</v>
      </c>
      <c r="I238" s="6"/>
      <c r="J238" s="6" t="str">
        <f>IF(SQRT((ABS(AI238-K238))^2)/AI238&gt;0.02,"F","R")</f>
        <v>F</v>
      </c>
      <c r="K238" s="6"/>
      <c r="L238" s="107"/>
      <c r="N238" s="3"/>
      <c r="O238" s="3"/>
      <c r="P238" s="3"/>
      <c r="Q238" s="3"/>
      <c r="R238" s="3"/>
      <c r="S238" s="3"/>
      <c r="T238" s="3"/>
      <c r="U238" s="3"/>
      <c r="V238" s="3"/>
      <c r="W238" s="3"/>
      <c r="X238" s="3"/>
      <c r="Y238" s="3"/>
      <c r="Z238" s="3"/>
      <c r="AA238" s="437" t="s">
        <v>9</v>
      </c>
      <c r="AB238" s="446">
        <v>2</v>
      </c>
      <c r="AC238" s="446"/>
      <c r="AD238" s="446">
        <v>25</v>
      </c>
      <c r="AE238" s="446"/>
      <c r="AF238" s="437"/>
      <c r="AG238" s="446">
        <v>16</v>
      </c>
      <c r="AH238" s="446"/>
      <c r="AI238" s="446">
        <v>18</v>
      </c>
      <c r="AJ238" s="446"/>
    </row>
    <row r="239" spans="2:36" hidden="1" x14ac:dyDescent="0.25">
      <c r="B239" s="106"/>
      <c r="C239" s="3"/>
      <c r="D239" s="3"/>
      <c r="E239" s="3"/>
      <c r="F239" s="3"/>
      <c r="G239" s="3"/>
      <c r="H239" s="3"/>
      <c r="I239" s="3"/>
      <c r="J239" s="3"/>
      <c r="K239" s="3"/>
      <c r="L239" s="107"/>
      <c r="N239" s="3"/>
      <c r="O239" s="3"/>
      <c r="P239" s="3"/>
      <c r="Q239" s="3"/>
      <c r="R239" s="3"/>
      <c r="S239" s="3"/>
      <c r="T239" s="3"/>
      <c r="U239" s="3"/>
      <c r="V239" s="3"/>
      <c r="W239" s="3"/>
      <c r="X239" s="3"/>
      <c r="Y239" s="3"/>
      <c r="Z239" s="3"/>
      <c r="AA239" s="437"/>
      <c r="AB239" s="437"/>
      <c r="AC239" s="437"/>
      <c r="AD239" s="437"/>
      <c r="AE239" s="437"/>
      <c r="AF239" s="437"/>
      <c r="AG239" s="437"/>
      <c r="AH239" s="437"/>
      <c r="AI239" s="437"/>
      <c r="AJ239" s="437"/>
    </row>
    <row r="240" spans="2:36" ht="18.75" hidden="1" x14ac:dyDescent="0.3">
      <c r="B240" s="6"/>
      <c r="C240" s="6"/>
      <c r="D240" s="7" t="str">
        <f>AC240</f>
        <v>C3H7OH</v>
      </c>
      <c r="E240" s="7"/>
      <c r="F240" s="7" t="s">
        <v>49</v>
      </c>
      <c r="G240" s="7" t="str">
        <f>AF240</f>
        <v>⟶</v>
      </c>
      <c r="H240" s="7"/>
      <c r="I240" s="7" t="s">
        <v>31</v>
      </c>
      <c r="J240" s="7"/>
      <c r="K240" s="7" t="s">
        <v>50</v>
      </c>
      <c r="L240" s="107"/>
      <c r="N240" s="3"/>
      <c r="O240" s="3"/>
      <c r="P240" s="3"/>
      <c r="Q240" s="3"/>
      <c r="R240" s="3"/>
      <c r="S240" s="3"/>
      <c r="T240" s="3"/>
      <c r="U240" s="3"/>
      <c r="V240" s="3"/>
      <c r="W240" s="3"/>
      <c r="X240" s="3"/>
      <c r="Y240" s="3"/>
      <c r="Z240" s="3"/>
      <c r="AA240" s="437"/>
      <c r="AB240" s="437">
        <v>2</v>
      </c>
      <c r="AC240" s="445" t="s">
        <v>15</v>
      </c>
      <c r="AD240" s="445">
        <v>9</v>
      </c>
      <c r="AE240" s="445" t="s">
        <v>3</v>
      </c>
      <c r="AF240" s="445" t="s">
        <v>48</v>
      </c>
      <c r="AG240" s="445">
        <v>6</v>
      </c>
      <c r="AH240" s="445" t="s">
        <v>4</v>
      </c>
      <c r="AI240" s="445">
        <v>8</v>
      </c>
      <c r="AJ240" s="445" t="s">
        <v>5</v>
      </c>
    </row>
    <row r="241" spans="2:36" ht="18.75" hidden="1" x14ac:dyDescent="0.3">
      <c r="B241" s="7" t="s">
        <v>6</v>
      </c>
      <c r="C241" s="6"/>
      <c r="D241" s="6">
        <f>AB241</f>
        <v>67</v>
      </c>
      <c r="E241" s="6" t="str">
        <f>IF(SQRT((ABS(AD241-F241))^2)/AD241&gt;0.02,"F","R")</f>
        <v>F</v>
      </c>
      <c r="F241" s="6"/>
      <c r="G241" s="6"/>
      <c r="H241" s="6" t="str">
        <f>IF(SQRT((ABS(AG241-I241))^2)/AG241&gt;0.02,"F","R")</f>
        <v>F</v>
      </c>
      <c r="I241" s="6"/>
      <c r="J241" s="6" t="str">
        <f>IF(SQRT((ABS(AI241-K241))^2)/AI241&gt;0.02,"F","R")</f>
        <v>F</v>
      </c>
      <c r="K241" s="6"/>
      <c r="L241" s="107"/>
      <c r="N241" s="3"/>
      <c r="O241" s="3"/>
      <c r="P241" s="3"/>
      <c r="Q241" s="3"/>
      <c r="R241" s="3"/>
      <c r="S241" s="3"/>
      <c r="T241" s="3"/>
      <c r="U241" s="3"/>
      <c r="V241" s="3"/>
      <c r="W241" s="3"/>
      <c r="X241" s="3"/>
      <c r="Y241" s="3"/>
      <c r="Z241" s="3"/>
      <c r="AA241" s="437" t="s">
        <v>6</v>
      </c>
      <c r="AB241" s="446">
        <v>67</v>
      </c>
      <c r="AC241" s="446"/>
      <c r="AD241" s="446">
        <v>160.54847405731022</v>
      </c>
      <c r="AE241" s="446"/>
      <c r="AF241" s="437"/>
      <c r="AG241" s="446">
        <v>147.20288215129631</v>
      </c>
      <c r="AH241" s="446"/>
      <c r="AI241" s="446">
        <v>80.345591906013908</v>
      </c>
      <c r="AJ241" s="446"/>
    </row>
    <row r="242" spans="2:36" ht="18.75" hidden="1" x14ac:dyDescent="0.3">
      <c r="B242" s="7" t="s">
        <v>7</v>
      </c>
      <c r="C242" s="6" t="str">
        <f>IF(SQRT((ABS(AB242-D242))^2)/AB242&gt;0.02,"F","R")</f>
        <v>F</v>
      </c>
      <c r="D242" s="6"/>
      <c r="E242" s="6" t="str">
        <f>IF(SQRT((ABS(AD242-F242))^2)/AD242&gt;0.02,"F","R")</f>
        <v>F</v>
      </c>
      <c r="F242" s="6"/>
      <c r="G242" s="6"/>
      <c r="H242" s="6" t="str">
        <f>IF(SQRT((ABS(AG242-I242))^2)/AG242&gt;0.02,"F","R")</f>
        <v>F</v>
      </c>
      <c r="I242" s="6"/>
      <c r="J242" s="6" t="str">
        <f>IF(SQRT((ABS(AI242-K242))^2)/AI242&gt;0.02,"F","R")</f>
        <v>F</v>
      </c>
      <c r="K242" s="6"/>
      <c r="L242" s="107"/>
      <c r="N242" s="3"/>
      <c r="O242" s="3"/>
      <c r="P242" s="3"/>
      <c r="Q242" s="3"/>
      <c r="R242" s="3"/>
      <c r="S242" s="3"/>
      <c r="T242" s="3"/>
      <c r="U242" s="3"/>
      <c r="V242" s="3"/>
      <c r="W242" s="3"/>
      <c r="X242" s="3"/>
      <c r="Y242" s="3"/>
      <c r="Z242" s="3"/>
      <c r="AA242" s="437" t="s">
        <v>7</v>
      </c>
      <c r="AB242" s="446">
        <v>60.094000000000001</v>
      </c>
      <c r="AC242" s="446"/>
      <c r="AD242" s="446">
        <v>32</v>
      </c>
      <c r="AE242" s="446"/>
      <c r="AF242" s="437"/>
      <c r="AG242" s="446">
        <v>44.01</v>
      </c>
      <c r="AH242" s="446"/>
      <c r="AI242" s="446">
        <v>18.015999999999998</v>
      </c>
      <c r="AJ242" s="446"/>
    </row>
    <row r="243" spans="2:36" ht="18.75" hidden="1" x14ac:dyDescent="0.3">
      <c r="B243" s="7" t="s">
        <v>8</v>
      </c>
      <c r="C243" s="6" t="str">
        <f>IF(SQRT((ABS(AB243-D243))^2)/AB243&gt;0.02,"F","R")</f>
        <v>F</v>
      </c>
      <c r="D243" s="6"/>
      <c r="E243" s="6" t="str">
        <f>IF(SQRT((ABS(AD243-F243))^2)/AD243&gt;0.02,"F","R")</f>
        <v>F</v>
      </c>
      <c r="F243" s="6"/>
      <c r="G243" s="6"/>
      <c r="H243" s="6" t="str">
        <f>IF(SQRT((ABS(AG243-I243))^2)/AG243&gt;0.02,"F","R")</f>
        <v>F</v>
      </c>
      <c r="I243" s="6"/>
      <c r="J243" s="6" t="str">
        <f>IF(SQRT((ABS(AI243-K243))^2)/AI243&gt;0.02,"F","R")</f>
        <v>F</v>
      </c>
      <c r="K243" s="6"/>
      <c r="L243" s="107"/>
      <c r="N243" s="3"/>
      <c r="O243" s="3"/>
      <c r="P243" s="3"/>
      <c r="Q243" s="3"/>
      <c r="R243" s="3"/>
      <c r="S243" s="3"/>
      <c r="T243" s="3"/>
      <c r="U243" s="3"/>
      <c r="V243" s="3"/>
      <c r="W243" s="3"/>
      <c r="X243" s="3"/>
      <c r="Y243" s="3"/>
      <c r="Z243" s="3"/>
      <c r="AA243" s="437" t="s">
        <v>8</v>
      </c>
      <c r="AB243" s="446">
        <v>1.114919958731321</v>
      </c>
      <c r="AC243" s="446"/>
      <c r="AD243" s="446">
        <v>5.0171398142909442</v>
      </c>
      <c r="AE243" s="446"/>
      <c r="AF243" s="437"/>
      <c r="AG243" s="446">
        <v>3.344759876193963</v>
      </c>
      <c r="AH243" s="446"/>
      <c r="AI243" s="446">
        <v>4.459679834925284</v>
      </c>
      <c r="AJ243" s="446"/>
    </row>
    <row r="244" spans="2:36" ht="18.75" hidden="1" x14ac:dyDescent="0.3">
      <c r="B244" s="7" t="s">
        <v>9</v>
      </c>
      <c r="C244" s="6" t="str">
        <f>IF(SQRT((ABS(AB244-D244))^2)/AB244&gt;0.02,"F","R")</f>
        <v>F</v>
      </c>
      <c r="D244" s="6"/>
      <c r="E244" s="6" t="str">
        <f>IF(SQRT((ABS(AD244-F244))^2)/AD244&gt;0.02,"F","R")</f>
        <v>F</v>
      </c>
      <c r="F244" s="6"/>
      <c r="G244" s="6"/>
      <c r="H244" s="6" t="str">
        <f>IF(SQRT((ABS(AG244-I244))^2)/AG244&gt;0.02,"F","R")</f>
        <v>F</v>
      </c>
      <c r="I244" s="6"/>
      <c r="J244" s="6" t="str">
        <f>IF(SQRT((ABS(AI244-K244))^2)/AI244&gt;0.02,"F","R")</f>
        <v>F</v>
      </c>
      <c r="K244" s="6"/>
      <c r="L244" s="107"/>
      <c r="N244" s="3"/>
      <c r="O244" s="3"/>
      <c r="P244" s="3"/>
      <c r="Q244" s="3"/>
      <c r="R244" s="3"/>
      <c r="S244" s="3"/>
      <c r="T244" s="3"/>
      <c r="U244" s="3"/>
      <c r="V244" s="3"/>
      <c r="W244" s="3"/>
      <c r="X244" s="3"/>
      <c r="Y244" s="3"/>
      <c r="Z244" s="3"/>
      <c r="AA244" s="437" t="s">
        <v>9</v>
      </c>
      <c r="AB244" s="446">
        <v>2</v>
      </c>
      <c r="AC244" s="446"/>
      <c r="AD244" s="446">
        <v>9</v>
      </c>
      <c r="AE244" s="446"/>
      <c r="AF244" s="437"/>
      <c r="AG244" s="446">
        <v>6</v>
      </c>
      <c r="AH244" s="446"/>
      <c r="AI244" s="446">
        <v>8</v>
      </c>
      <c r="AJ244" s="446"/>
    </row>
    <row r="245" spans="2:36" hidden="1" x14ac:dyDescent="0.25">
      <c r="B245" s="106"/>
      <c r="C245" s="3"/>
      <c r="D245" s="3"/>
      <c r="E245" s="3"/>
      <c r="F245" s="3"/>
      <c r="G245" s="3"/>
      <c r="H245" s="3"/>
      <c r="I245" s="3"/>
      <c r="J245" s="3"/>
      <c r="K245" s="3"/>
      <c r="L245" s="107"/>
      <c r="N245" s="3"/>
      <c r="O245" s="3"/>
      <c r="P245" s="3"/>
      <c r="Q245" s="3"/>
      <c r="R245" s="3"/>
      <c r="S245" s="3"/>
      <c r="T245" s="3"/>
      <c r="U245" s="3"/>
      <c r="V245" s="3"/>
      <c r="W245" s="3"/>
      <c r="X245" s="3"/>
      <c r="Y245" s="3"/>
      <c r="Z245" s="3"/>
      <c r="AA245" s="437"/>
      <c r="AB245" s="437"/>
      <c r="AC245" s="437"/>
      <c r="AD245" s="437"/>
      <c r="AE245" s="437"/>
      <c r="AF245" s="437"/>
      <c r="AG245" s="437"/>
      <c r="AH245" s="437"/>
      <c r="AI245" s="437"/>
      <c r="AJ245" s="437"/>
    </row>
    <row r="246" spans="2:36" ht="18.75" hidden="1" x14ac:dyDescent="0.3">
      <c r="B246" s="6"/>
      <c r="C246" s="6"/>
      <c r="D246" s="7" t="str">
        <f>AC246</f>
        <v>C12H26</v>
      </c>
      <c r="E246" s="7"/>
      <c r="F246" s="7" t="s">
        <v>49</v>
      </c>
      <c r="G246" s="7" t="str">
        <f>AF246</f>
        <v>⟶</v>
      </c>
      <c r="H246" s="7"/>
      <c r="I246" s="7" t="s">
        <v>31</v>
      </c>
      <c r="J246" s="7"/>
      <c r="K246" s="7" t="s">
        <v>50</v>
      </c>
      <c r="L246" s="107"/>
      <c r="N246" s="3"/>
      <c r="O246" s="3"/>
      <c r="P246" s="3"/>
      <c r="Q246" s="3"/>
      <c r="R246" s="3"/>
      <c r="S246" s="3"/>
      <c r="T246" s="3"/>
      <c r="U246" s="3"/>
      <c r="V246" s="3"/>
      <c r="W246" s="3"/>
      <c r="X246" s="3"/>
      <c r="Y246" s="3"/>
      <c r="Z246" s="3"/>
      <c r="AA246" s="437"/>
      <c r="AB246" s="437">
        <v>2</v>
      </c>
      <c r="AC246" s="445" t="s">
        <v>10</v>
      </c>
      <c r="AD246" s="445">
        <v>37</v>
      </c>
      <c r="AE246" s="445" t="s">
        <v>3</v>
      </c>
      <c r="AF246" s="445" t="s">
        <v>48</v>
      </c>
      <c r="AG246" s="445">
        <v>24</v>
      </c>
      <c r="AH246" s="445" t="s">
        <v>4</v>
      </c>
      <c r="AI246" s="445">
        <v>26</v>
      </c>
      <c r="AJ246" s="445" t="s">
        <v>5</v>
      </c>
    </row>
    <row r="247" spans="2:36" ht="18.75" hidden="1" x14ac:dyDescent="0.3">
      <c r="B247" s="7" t="s">
        <v>6</v>
      </c>
      <c r="C247" s="6"/>
      <c r="D247" s="6">
        <f>AB247</f>
        <v>147</v>
      </c>
      <c r="E247" s="6" t="str">
        <f>IF(SQRT((ABS(AD247-F247))^2)/AD247&gt;0.02,"F","R")</f>
        <v>F</v>
      </c>
      <c r="F247" s="6"/>
      <c r="G247" s="6"/>
      <c r="H247" s="6" t="str">
        <f>IF(SQRT((ABS(AG247-I247))^2)/AG247&gt;0.02,"F","R")</f>
        <v>F</v>
      </c>
      <c r="I247" s="6"/>
      <c r="J247" s="6" t="str">
        <f>IF(SQRT((ABS(AI247-K247))^2)/AI247&gt;0.02,"F","R")</f>
        <v>F</v>
      </c>
      <c r="K247" s="6"/>
      <c r="L247" s="107"/>
      <c r="N247" s="3"/>
      <c r="O247" s="3"/>
      <c r="P247" s="3"/>
      <c r="Q247" s="3"/>
      <c r="R247" s="3"/>
      <c r="S247" s="3"/>
      <c r="T247" s="3"/>
      <c r="U247" s="3"/>
      <c r="V247" s="3"/>
      <c r="W247" s="3"/>
      <c r="X247" s="3"/>
      <c r="Y247" s="3"/>
      <c r="Z247" s="3"/>
      <c r="AA247" s="437" t="s">
        <v>6</v>
      </c>
      <c r="AB247" s="446">
        <v>147</v>
      </c>
      <c r="AC247" s="446"/>
      <c r="AD247" s="446">
        <v>510.92010708750178</v>
      </c>
      <c r="AE247" s="446"/>
      <c r="AF247" s="437"/>
      <c r="AG247" s="446">
        <v>455.78906580245177</v>
      </c>
      <c r="AH247" s="446"/>
      <c r="AI247" s="446">
        <v>202.13104128505</v>
      </c>
      <c r="AJ247" s="446"/>
    </row>
    <row r="248" spans="2:36" ht="18.75" hidden="1" x14ac:dyDescent="0.3">
      <c r="B248" s="7" t="s">
        <v>7</v>
      </c>
      <c r="C248" s="6" t="str">
        <f>IF(SQRT((ABS(AB248-D248))^2)/AB248&gt;0.02,"F","R")</f>
        <v>F</v>
      </c>
      <c r="D248" s="6"/>
      <c r="E248" s="6" t="str">
        <f>IF(SQRT((ABS(AD248-F248))^2)/AD248&gt;0.02,"F","R")</f>
        <v>F</v>
      </c>
      <c r="F248" s="6"/>
      <c r="G248" s="6"/>
      <c r="H248" s="6" t="str">
        <f>IF(SQRT((ABS(AG248-I248))^2)/AG248&gt;0.02,"F","R")</f>
        <v>F</v>
      </c>
      <c r="I248" s="6"/>
      <c r="J248" s="6" t="str">
        <f>IF(SQRT((ABS(AI248-K248))^2)/AI248&gt;0.02,"F","R")</f>
        <v>F</v>
      </c>
      <c r="K248" s="6"/>
      <c r="L248" s="107"/>
      <c r="N248" s="3"/>
      <c r="O248" s="3"/>
      <c r="P248" s="3"/>
      <c r="Q248" s="3"/>
      <c r="R248" s="3"/>
      <c r="S248" s="3"/>
      <c r="T248" s="3"/>
      <c r="U248" s="3"/>
      <c r="V248" s="3"/>
      <c r="W248" s="3"/>
      <c r="X248" s="3"/>
      <c r="Y248" s="3"/>
      <c r="Z248" s="3"/>
      <c r="AA248" s="437" t="s">
        <v>7</v>
      </c>
      <c r="AB248" s="446">
        <v>170.328</v>
      </c>
      <c r="AC248" s="446"/>
      <c r="AD248" s="446">
        <v>32</v>
      </c>
      <c r="AE248" s="446"/>
      <c r="AF248" s="437"/>
      <c r="AG248" s="446">
        <v>44.01</v>
      </c>
      <c r="AH248" s="446"/>
      <c r="AI248" s="446">
        <v>18.015999999999998</v>
      </c>
      <c r="AJ248" s="446"/>
    </row>
    <row r="249" spans="2:36" ht="18.75" hidden="1" x14ac:dyDescent="0.3">
      <c r="B249" s="7" t="s">
        <v>8</v>
      </c>
      <c r="C249" s="6" t="str">
        <f>IF(SQRT((ABS(AB249-D249))^2)/AB249&gt;0.02,"F","R")</f>
        <v>F</v>
      </c>
      <c r="D249" s="6"/>
      <c r="E249" s="6" t="str">
        <f>IF(SQRT((ABS(AD249-F249))^2)/AD249&gt;0.02,"F","R")</f>
        <v>F</v>
      </c>
      <c r="F249" s="6"/>
      <c r="G249" s="6"/>
      <c r="H249" s="6" t="str">
        <f>IF(SQRT((ABS(AG249-I249))^2)/AG249&gt;0.02,"F","R")</f>
        <v>F</v>
      </c>
      <c r="I249" s="6"/>
      <c r="J249" s="6" t="str">
        <f>IF(SQRT((ABS(AI249-K249))^2)/AI249&gt;0.02,"F","R")</f>
        <v>F</v>
      </c>
      <c r="K249" s="6"/>
      <c r="L249" s="107"/>
      <c r="N249" s="3"/>
      <c r="O249" s="3"/>
      <c r="P249" s="3"/>
      <c r="Q249" s="3"/>
      <c r="R249" s="3"/>
      <c r="S249" s="3"/>
      <c r="T249" s="3"/>
      <c r="U249" s="3"/>
      <c r="V249" s="3"/>
      <c r="W249" s="3"/>
      <c r="X249" s="3"/>
      <c r="Y249" s="3"/>
      <c r="Z249" s="3"/>
      <c r="AA249" s="437" t="s">
        <v>8</v>
      </c>
      <c r="AB249" s="446">
        <v>0.86304072143159083</v>
      </c>
      <c r="AC249" s="446"/>
      <c r="AD249" s="446">
        <v>15.966253346484431</v>
      </c>
      <c r="AE249" s="446"/>
      <c r="AF249" s="437"/>
      <c r="AG249" s="446">
        <v>10.35648865717909</v>
      </c>
      <c r="AH249" s="446"/>
      <c r="AI249" s="446">
        <v>11.21952937861068</v>
      </c>
      <c r="AJ249" s="446"/>
    </row>
    <row r="250" spans="2:36" ht="18.75" hidden="1" x14ac:dyDescent="0.3">
      <c r="B250" s="7" t="s">
        <v>9</v>
      </c>
      <c r="C250" s="6" t="str">
        <f>IF(SQRT((ABS(AB250-D250))^2)/AB250&gt;0.02,"F","R")</f>
        <v>F</v>
      </c>
      <c r="D250" s="6"/>
      <c r="E250" s="6" t="str">
        <f>IF(SQRT((ABS(AD250-F250))^2)/AD250&gt;0.02,"F","R")</f>
        <v>F</v>
      </c>
      <c r="F250" s="6"/>
      <c r="G250" s="6"/>
      <c r="H250" s="6" t="str">
        <f>IF(SQRT((ABS(AG250-I250))^2)/AG250&gt;0.02,"F","R")</f>
        <v>F</v>
      </c>
      <c r="I250" s="6"/>
      <c r="J250" s="6" t="str">
        <f>IF(SQRT((ABS(AI250-K250))^2)/AI250&gt;0.02,"F","R")</f>
        <v>F</v>
      </c>
      <c r="K250" s="6"/>
      <c r="L250" s="107"/>
      <c r="N250" s="3"/>
      <c r="O250" s="3"/>
      <c r="P250" s="3"/>
      <c r="Q250" s="3"/>
      <c r="R250" s="3"/>
      <c r="S250" s="3"/>
      <c r="T250" s="3"/>
      <c r="U250" s="3"/>
      <c r="V250" s="3"/>
      <c r="W250" s="3"/>
      <c r="X250" s="3"/>
      <c r="Y250" s="3"/>
      <c r="Z250" s="3"/>
      <c r="AA250" s="437" t="s">
        <v>9</v>
      </c>
      <c r="AB250" s="446">
        <v>2</v>
      </c>
      <c r="AC250" s="446"/>
      <c r="AD250" s="446">
        <v>37</v>
      </c>
      <c r="AE250" s="446"/>
      <c r="AF250" s="437"/>
      <c r="AG250" s="446">
        <v>24</v>
      </c>
      <c r="AH250" s="446"/>
      <c r="AI250" s="446">
        <v>26</v>
      </c>
      <c r="AJ250" s="446"/>
    </row>
    <row r="251" spans="2:36" hidden="1" x14ac:dyDescent="0.25">
      <c r="B251" s="106"/>
      <c r="C251" s="3"/>
      <c r="D251" s="3"/>
      <c r="E251" s="3"/>
      <c r="F251" s="3"/>
      <c r="G251" s="3"/>
      <c r="H251" s="3"/>
      <c r="I251" s="3"/>
      <c r="J251" s="3"/>
      <c r="K251" s="3"/>
      <c r="L251" s="107"/>
      <c r="N251" s="3"/>
      <c r="O251" s="3"/>
      <c r="P251" s="3"/>
      <c r="Q251" s="3"/>
      <c r="R251" s="3"/>
      <c r="S251" s="3"/>
      <c r="T251" s="3"/>
      <c r="U251" s="3"/>
      <c r="V251" s="3"/>
      <c r="W251" s="3"/>
      <c r="X251" s="3"/>
      <c r="Y251" s="3"/>
      <c r="Z251" s="3"/>
      <c r="AA251" s="437"/>
      <c r="AB251" s="437"/>
      <c r="AC251" s="437"/>
      <c r="AD251" s="437"/>
      <c r="AE251" s="437"/>
      <c r="AF251" s="437"/>
      <c r="AG251" s="437"/>
      <c r="AH251" s="437"/>
      <c r="AI251" s="437"/>
      <c r="AJ251" s="437"/>
    </row>
    <row r="252" spans="2:36" ht="18.75" hidden="1" x14ac:dyDescent="0.3">
      <c r="B252" s="6"/>
      <c r="C252" s="6"/>
      <c r="D252" s="7" t="str">
        <f>AC252</f>
        <v>C9H20</v>
      </c>
      <c r="E252" s="7"/>
      <c r="F252" s="7" t="s">
        <v>49</v>
      </c>
      <c r="G252" s="7" t="str">
        <f>AF252</f>
        <v>⟶</v>
      </c>
      <c r="H252" s="7"/>
      <c r="I252" s="7" t="s">
        <v>31</v>
      </c>
      <c r="J252" s="7"/>
      <c r="K252" s="7" t="s">
        <v>50</v>
      </c>
      <c r="L252" s="107"/>
      <c r="N252" s="3"/>
      <c r="O252" s="3"/>
      <c r="P252" s="3"/>
      <c r="Q252" s="3"/>
      <c r="R252" s="3"/>
      <c r="S252" s="3"/>
      <c r="T252" s="3"/>
      <c r="U252" s="3"/>
      <c r="V252" s="3"/>
      <c r="W252" s="3"/>
      <c r="X252" s="3"/>
      <c r="Y252" s="3"/>
      <c r="Z252" s="3"/>
      <c r="AA252" s="437"/>
      <c r="AB252" s="437">
        <v>1</v>
      </c>
      <c r="AC252" s="445" t="s">
        <v>2</v>
      </c>
      <c r="AD252" s="445">
        <v>14</v>
      </c>
      <c r="AE252" s="445" t="s">
        <v>3</v>
      </c>
      <c r="AF252" s="445" t="s">
        <v>48</v>
      </c>
      <c r="AG252" s="445">
        <v>9</v>
      </c>
      <c r="AH252" s="445" t="s">
        <v>4</v>
      </c>
      <c r="AI252" s="445">
        <v>10</v>
      </c>
      <c r="AJ252" s="445" t="s">
        <v>5</v>
      </c>
    </row>
    <row r="253" spans="2:36" ht="18.75" hidden="1" x14ac:dyDescent="0.3">
      <c r="B253" s="7" t="s">
        <v>6</v>
      </c>
      <c r="C253" s="6"/>
      <c r="D253" s="6">
        <f>AB253</f>
        <v>164</v>
      </c>
      <c r="E253" s="6" t="str">
        <f>IF(SQRT((ABS(AD253-F253))^2)/AD253&gt;0.02,"F","R")</f>
        <v>F</v>
      </c>
      <c r="F253" s="6"/>
      <c r="G253" s="6"/>
      <c r="H253" s="6" t="str">
        <f>IF(SQRT((ABS(AG253-I253))^2)/AG253&gt;0.02,"F","R")</f>
        <v>F</v>
      </c>
      <c r="I253" s="6"/>
      <c r="J253" s="6" t="str">
        <f>IF(SQRT((ABS(AI253-K253))^2)/AI253&gt;0.02,"F","R")</f>
        <v>F</v>
      </c>
      <c r="K253" s="6"/>
      <c r="L253" s="107"/>
      <c r="N253" s="3"/>
      <c r="O253" s="3"/>
      <c r="P253" s="3"/>
      <c r="Q253" s="3"/>
      <c r="R253" s="3"/>
      <c r="S253" s="3"/>
      <c r="T253" s="3"/>
      <c r="U253" s="3"/>
      <c r="V253" s="3"/>
      <c r="W253" s="3"/>
      <c r="X253" s="3"/>
      <c r="Y253" s="3"/>
      <c r="Z253" s="3"/>
      <c r="AA253" s="437" t="s">
        <v>6</v>
      </c>
      <c r="AB253" s="446">
        <v>164</v>
      </c>
      <c r="AC253" s="446"/>
      <c r="AD253" s="446">
        <v>572.88109161793363</v>
      </c>
      <c r="AE253" s="446"/>
      <c r="AF253" s="437"/>
      <c r="AG253" s="446">
        <v>506.50105263157894</v>
      </c>
      <c r="AH253" s="446"/>
      <c r="AI253" s="446">
        <v>230.38003898635475</v>
      </c>
      <c r="AJ253" s="446"/>
    </row>
    <row r="254" spans="2:36" ht="18.75" hidden="1" x14ac:dyDescent="0.3">
      <c r="B254" s="7" t="s">
        <v>7</v>
      </c>
      <c r="C254" s="6" t="str">
        <f>IF(SQRT((ABS(AB254-D254))^2)/AB254&gt;0.02,"F","R")</f>
        <v>F</v>
      </c>
      <c r="D254" s="6"/>
      <c r="E254" s="6" t="str">
        <f>IF(SQRT((ABS(AD254-F254))^2)/AD254&gt;0.02,"F","R")</f>
        <v>F</v>
      </c>
      <c r="F254" s="6"/>
      <c r="G254" s="6"/>
      <c r="H254" s="6" t="str">
        <f>IF(SQRT((ABS(AG254-I254))^2)/AG254&gt;0.02,"F","R")</f>
        <v>F</v>
      </c>
      <c r="I254" s="6"/>
      <c r="J254" s="6" t="str">
        <f>IF(SQRT((ABS(AI254-K254))^2)/AI254&gt;0.02,"F","R")</f>
        <v>F</v>
      </c>
      <c r="K254" s="6"/>
      <c r="L254" s="107"/>
      <c r="N254" s="3"/>
      <c r="O254" s="3"/>
      <c r="P254" s="3"/>
      <c r="Q254" s="3"/>
      <c r="R254" s="3"/>
      <c r="S254" s="3"/>
      <c r="T254" s="3"/>
      <c r="U254" s="3"/>
      <c r="V254" s="3"/>
      <c r="W254" s="3"/>
      <c r="X254" s="3"/>
      <c r="Y254" s="3"/>
      <c r="Z254" s="3"/>
      <c r="AA254" s="437" t="s">
        <v>7</v>
      </c>
      <c r="AB254" s="446">
        <v>128.25</v>
      </c>
      <c r="AC254" s="446"/>
      <c r="AD254" s="446">
        <v>32</v>
      </c>
      <c r="AE254" s="446"/>
      <c r="AF254" s="437"/>
      <c r="AG254" s="446">
        <v>44.01</v>
      </c>
      <c r="AH254" s="446"/>
      <c r="AI254" s="446">
        <v>18.015999999999998</v>
      </c>
      <c r="AJ254" s="446"/>
    </row>
    <row r="255" spans="2:36" ht="18.75" hidden="1" x14ac:dyDescent="0.3">
      <c r="B255" s="7" t="s">
        <v>8</v>
      </c>
      <c r="C255" s="6" t="str">
        <f>IF(SQRT((ABS(AB255-D255))^2)/AB255&gt;0.02,"F","R")</f>
        <v>F</v>
      </c>
      <c r="D255" s="6"/>
      <c r="E255" s="6" t="str">
        <f>IF(SQRT((ABS(AD255-F255))^2)/AD255&gt;0.02,"F","R")</f>
        <v>F</v>
      </c>
      <c r="F255" s="6"/>
      <c r="G255" s="6"/>
      <c r="H255" s="6" t="str">
        <f>IF(SQRT((ABS(AG255-I255))^2)/AG255&gt;0.02,"F","R")</f>
        <v>F</v>
      </c>
      <c r="I255" s="6"/>
      <c r="J255" s="6" t="str">
        <f>IF(SQRT((ABS(AI255-K255))^2)/AI255&gt;0.02,"F","R")</f>
        <v>F</v>
      </c>
      <c r="K255" s="6"/>
      <c r="L255" s="107"/>
      <c r="N255" s="3"/>
      <c r="O255" s="3"/>
      <c r="P255" s="3"/>
      <c r="Q255" s="3"/>
      <c r="R255" s="3"/>
      <c r="S255" s="3"/>
      <c r="T255" s="3"/>
      <c r="U255" s="3"/>
      <c r="V255" s="3"/>
      <c r="W255" s="3"/>
      <c r="X255" s="3"/>
      <c r="Y255" s="3"/>
      <c r="Z255" s="3"/>
      <c r="AA255" s="437" t="s">
        <v>8</v>
      </c>
      <c r="AB255" s="446">
        <v>1.2787524366471734</v>
      </c>
      <c r="AC255" s="446"/>
      <c r="AD255" s="446">
        <v>17.902534113060426</v>
      </c>
      <c r="AE255" s="446"/>
      <c r="AF255" s="437"/>
      <c r="AG255" s="446">
        <v>11.508771929824562</v>
      </c>
      <c r="AH255" s="446"/>
      <c r="AI255" s="446">
        <v>12.787524366471734</v>
      </c>
      <c r="AJ255" s="446"/>
    </row>
    <row r="256" spans="2:36" ht="18.75" hidden="1" x14ac:dyDescent="0.3">
      <c r="B256" s="7" t="s">
        <v>9</v>
      </c>
      <c r="C256" s="6" t="str">
        <f>IF(SQRT((ABS(AB256-D256))^2)/AB256&gt;0.02,"F","R")</f>
        <v>F</v>
      </c>
      <c r="D256" s="6"/>
      <c r="E256" s="6" t="str">
        <f>IF(SQRT((ABS(AD256-F256))^2)/AD256&gt;0.02,"F","R")</f>
        <v>F</v>
      </c>
      <c r="F256" s="6"/>
      <c r="G256" s="6"/>
      <c r="H256" s="6" t="str">
        <f>IF(SQRT((ABS(AG256-I256))^2)/AG256&gt;0.02,"F","R")</f>
        <v>F</v>
      </c>
      <c r="I256" s="6"/>
      <c r="J256" s="6" t="str">
        <f>IF(SQRT((ABS(AI256-K256))^2)/AI256&gt;0.02,"F","R")</f>
        <v>F</v>
      </c>
      <c r="K256" s="6"/>
      <c r="L256" s="107"/>
      <c r="N256" s="3"/>
      <c r="O256" s="3"/>
      <c r="P256" s="3"/>
      <c r="Q256" s="3"/>
      <c r="R256" s="3"/>
      <c r="S256" s="3"/>
      <c r="T256" s="3"/>
      <c r="U256" s="3"/>
      <c r="V256" s="3"/>
      <c r="W256" s="3"/>
      <c r="X256" s="3"/>
      <c r="Y256" s="3"/>
      <c r="Z256" s="3"/>
      <c r="AA256" s="437" t="s">
        <v>9</v>
      </c>
      <c r="AB256" s="446">
        <v>1</v>
      </c>
      <c r="AC256" s="446"/>
      <c r="AD256" s="446">
        <v>14</v>
      </c>
      <c r="AE256" s="446"/>
      <c r="AF256" s="437"/>
      <c r="AG256" s="446">
        <v>9</v>
      </c>
      <c r="AH256" s="446"/>
      <c r="AI256" s="446">
        <v>10</v>
      </c>
      <c r="AJ256" s="446"/>
    </row>
    <row r="257" spans="2:36" x14ac:dyDescent="0.25">
      <c r="AA257" s="437"/>
      <c r="AB257" s="437"/>
      <c r="AC257" s="437"/>
      <c r="AD257" s="437"/>
      <c r="AE257" s="437"/>
      <c r="AF257" s="437"/>
      <c r="AG257" s="437"/>
      <c r="AH257" s="437"/>
      <c r="AI257" s="437"/>
      <c r="AJ257" s="437"/>
    </row>
    <row r="258" spans="2:36" ht="18.75" hidden="1" x14ac:dyDescent="0.3">
      <c r="B258" s="6"/>
      <c r="C258" s="6"/>
      <c r="D258" s="7" t="str">
        <f>AC258</f>
        <v>C3H7OH</v>
      </c>
      <c r="E258" s="7"/>
      <c r="F258" s="7" t="s">
        <v>49</v>
      </c>
      <c r="G258" s="7" t="str">
        <f>AF258</f>
        <v>⟶</v>
      </c>
      <c r="H258" s="7"/>
      <c r="I258" s="7" t="s">
        <v>31</v>
      </c>
      <c r="J258" s="7"/>
      <c r="K258" s="7" t="s">
        <v>50</v>
      </c>
      <c r="L258" s="107"/>
      <c r="N258" s="3"/>
      <c r="O258" s="3"/>
      <c r="P258" s="3"/>
      <c r="Q258" s="3"/>
      <c r="R258" s="3"/>
      <c r="S258" s="3"/>
      <c r="T258" s="3"/>
      <c r="U258" s="3"/>
      <c r="V258" s="3"/>
      <c r="W258" s="3"/>
      <c r="X258" s="3"/>
      <c r="Y258" s="3"/>
      <c r="Z258" s="3"/>
      <c r="AA258" s="437"/>
      <c r="AB258" s="437">
        <v>2</v>
      </c>
      <c r="AC258" s="445" t="s">
        <v>15</v>
      </c>
      <c r="AD258" s="445">
        <v>9</v>
      </c>
      <c r="AE258" s="445" t="s">
        <v>3</v>
      </c>
      <c r="AF258" s="445" t="s">
        <v>48</v>
      </c>
      <c r="AG258" s="445">
        <v>6</v>
      </c>
      <c r="AH258" s="445" t="s">
        <v>4</v>
      </c>
      <c r="AI258" s="445">
        <v>8</v>
      </c>
      <c r="AJ258" s="445" t="s">
        <v>5</v>
      </c>
    </row>
    <row r="259" spans="2:36" ht="18.75" hidden="1" x14ac:dyDescent="0.3">
      <c r="B259" s="7" t="s">
        <v>6</v>
      </c>
      <c r="C259" s="6"/>
      <c r="D259" s="6">
        <f>AB259</f>
        <v>13</v>
      </c>
      <c r="E259" s="6" t="str">
        <f>IF(SQRT((ABS(AD259-F259))^2)/AD259&gt;0.02,"F","R")</f>
        <v>F</v>
      </c>
      <c r="F259" s="6"/>
      <c r="G259" s="6"/>
      <c r="H259" s="6" t="str">
        <f>IF(SQRT((ABS(AG259-I259))^2)/AG259&gt;0.02,"F","R")</f>
        <v>F</v>
      </c>
      <c r="I259" s="6"/>
      <c r="J259" s="6" t="str">
        <f>IF(SQRT((ABS(AI259-K259))^2)/AI259&gt;0.02,"F","R")</f>
        <v>F</v>
      </c>
      <c r="K259" s="6"/>
      <c r="L259" s="107"/>
      <c r="N259" s="3"/>
      <c r="O259" s="3"/>
      <c r="P259" s="3"/>
      <c r="Q259" s="3"/>
      <c r="R259" s="3"/>
      <c r="S259" s="3"/>
      <c r="T259" s="3"/>
      <c r="U259" s="3"/>
      <c r="V259" s="3"/>
      <c r="W259" s="3"/>
      <c r="X259" s="3"/>
      <c r="Y259" s="3"/>
      <c r="Z259" s="3"/>
      <c r="AA259" s="437" t="s">
        <v>6</v>
      </c>
      <c r="AB259" s="446">
        <v>13</v>
      </c>
      <c r="AC259" s="446"/>
      <c r="AD259" s="446">
        <v>31.151196458881088</v>
      </c>
      <c r="AE259" s="446"/>
      <c r="AF259" s="437"/>
      <c r="AG259" s="446">
        <v>28.561753253236596</v>
      </c>
      <c r="AH259" s="446"/>
      <c r="AI259" s="446">
        <v>15.589443205644489</v>
      </c>
      <c r="AJ259" s="446"/>
    </row>
    <row r="260" spans="2:36" ht="18.75" hidden="1" x14ac:dyDescent="0.3">
      <c r="B260" s="7" t="s">
        <v>7</v>
      </c>
      <c r="C260" s="6" t="str">
        <f>IF(SQRT((ABS(AB260-D260))^2)/AB260&gt;0.02,"F","R")</f>
        <v>F</v>
      </c>
      <c r="D260" s="6"/>
      <c r="E260" s="6" t="str">
        <f>IF(SQRT((ABS(AD260-F260))^2)/AD260&gt;0.02,"F","R")</f>
        <v>F</v>
      </c>
      <c r="F260" s="6"/>
      <c r="G260" s="6"/>
      <c r="H260" s="6" t="str">
        <f>IF(SQRT((ABS(AG260-I260))^2)/AG260&gt;0.02,"F","R")</f>
        <v>F</v>
      </c>
      <c r="I260" s="6"/>
      <c r="J260" s="6" t="str">
        <f>IF(SQRT((ABS(AI260-K260))^2)/AI260&gt;0.02,"F","R")</f>
        <v>F</v>
      </c>
      <c r="K260" s="6"/>
      <c r="L260" s="107"/>
      <c r="N260" s="3"/>
      <c r="O260" s="3"/>
      <c r="P260" s="3"/>
      <c r="Q260" s="3"/>
      <c r="R260" s="3"/>
      <c r="S260" s="3"/>
      <c r="T260" s="3"/>
      <c r="U260" s="3"/>
      <c r="V260" s="3"/>
      <c r="W260" s="3"/>
      <c r="X260" s="3"/>
      <c r="Y260" s="3"/>
      <c r="Z260" s="3"/>
      <c r="AA260" s="437" t="s">
        <v>7</v>
      </c>
      <c r="AB260" s="446">
        <v>60.094000000000001</v>
      </c>
      <c r="AC260" s="446"/>
      <c r="AD260" s="446">
        <v>32</v>
      </c>
      <c r="AE260" s="446"/>
      <c r="AF260" s="437"/>
      <c r="AG260" s="446">
        <v>44.01</v>
      </c>
      <c r="AH260" s="446"/>
      <c r="AI260" s="446">
        <v>18.015999999999998</v>
      </c>
      <c r="AJ260" s="446"/>
    </row>
    <row r="261" spans="2:36" ht="18.75" hidden="1" x14ac:dyDescent="0.3">
      <c r="B261" s="7" t="s">
        <v>8</v>
      </c>
      <c r="C261" s="6" t="str">
        <f>IF(SQRT((ABS(AB261-D261))^2)/AB261&gt;0.02,"F","R")</f>
        <v>F</v>
      </c>
      <c r="D261" s="6"/>
      <c r="E261" s="6" t="str">
        <f>IF(SQRT((ABS(AD261-F261))^2)/AD261&gt;0.02,"F","R")</f>
        <v>F</v>
      </c>
      <c r="F261" s="6"/>
      <c r="G261" s="6"/>
      <c r="H261" s="6" t="str">
        <f>IF(SQRT((ABS(AG261-I261))^2)/AG261&gt;0.02,"F","R")</f>
        <v>F</v>
      </c>
      <c r="I261" s="6"/>
      <c r="J261" s="6" t="str">
        <f>IF(SQRT((ABS(AI261-K261))^2)/AI261&gt;0.02,"F","R")</f>
        <v>F</v>
      </c>
      <c r="K261" s="6"/>
      <c r="L261" s="107"/>
      <c r="N261" s="3"/>
      <c r="O261" s="3"/>
      <c r="P261" s="3"/>
      <c r="Q261" s="3"/>
      <c r="R261" s="3"/>
      <c r="S261" s="3"/>
      <c r="T261" s="3"/>
      <c r="U261" s="3"/>
      <c r="V261" s="3"/>
      <c r="W261" s="3"/>
      <c r="X261" s="3"/>
      <c r="Y261" s="3"/>
      <c r="Z261" s="3"/>
      <c r="AA261" s="437" t="s">
        <v>8</v>
      </c>
      <c r="AB261" s="446">
        <v>0.21632775318667422</v>
      </c>
      <c r="AC261" s="446"/>
      <c r="AD261" s="446">
        <v>0.97347488934003401</v>
      </c>
      <c r="AE261" s="446"/>
      <c r="AF261" s="437"/>
      <c r="AG261" s="446">
        <v>0.64898325956002267</v>
      </c>
      <c r="AH261" s="446"/>
      <c r="AI261" s="446">
        <v>0.86531101274669686</v>
      </c>
      <c r="AJ261" s="446"/>
    </row>
    <row r="262" spans="2:36" ht="18.75" hidden="1" x14ac:dyDescent="0.3">
      <c r="B262" s="7" t="s">
        <v>9</v>
      </c>
      <c r="C262" s="6" t="str">
        <f>IF(SQRT((ABS(AB262-D262))^2)/AB262&gt;0.02,"F","R")</f>
        <v>F</v>
      </c>
      <c r="D262" s="6"/>
      <c r="E262" s="6" t="str">
        <f>IF(SQRT((ABS(AD262-F262))^2)/AD262&gt;0.02,"F","R")</f>
        <v>F</v>
      </c>
      <c r="F262" s="6"/>
      <c r="G262" s="6"/>
      <c r="H262" s="6" t="str">
        <f>IF(SQRT((ABS(AG262-I262))^2)/AG262&gt;0.02,"F","R")</f>
        <v>F</v>
      </c>
      <c r="I262" s="6"/>
      <c r="J262" s="6" t="str">
        <f>IF(SQRT((ABS(AI262-K262))^2)/AI262&gt;0.02,"F","R")</f>
        <v>F</v>
      </c>
      <c r="K262" s="6"/>
      <c r="L262" s="107"/>
      <c r="N262" s="3"/>
      <c r="O262" s="3"/>
      <c r="P262" s="3"/>
      <c r="Q262" s="3"/>
      <c r="R262" s="3"/>
      <c r="S262" s="3"/>
      <c r="T262" s="3"/>
      <c r="U262" s="3"/>
      <c r="V262" s="3"/>
      <c r="W262" s="3"/>
      <c r="X262" s="3"/>
      <c r="Y262" s="3"/>
      <c r="Z262" s="3"/>
      <c r="AA262" s="437" t="s">
        <v>9</v>
      </c>
      <c r="AB262" s="446">
        <v>2</v>
      </c>
      <c r="AC262" s="446"/>
      <c r="AD262" s="446">
        <v>9</v>
      </c>
      <c r="AE262" s="446"/>
      <c r="AF262" s="437"/>
      <c r="AG262" s="446">
        <v>6</v>
      </c>
      <c r="AH262" s="446"/>
      <c r="AI262" s="446">
        <v>8</v>
      </c>
      <c r="AJ262" s="446"/>
    </row>
    <row r="263" spans="2:36" hidden="1" x14ac:dyDescent="0.25">
      <c r="B263" s="106"/>
      <c r="C263" s="3"/>
      <c r="D263" s="3"/>
      <c r="E263" s="3"/>
      <c r="F263" s="3"/>
      <c r="G263" s="3"/>
      <c r="H263" s="3"/>
      <c r="I263" s="3"/>
      <c r="J263" s="3"/>
      <c r="K263" s="3"/>
      <c r="L263" s="107"/>
      <c r="N263" s="3"/>
      <c r="O263" s="3"/>
      <c r="P263" s="3"/>
      <c r="Q263" s="3"/>
      <c r="R263" s="3"/>
      <c r="S263" s="3"/>
      <c r="T263" s="3"/>
      <c r="U263" s="3"/>
      <c r="V263" s="3"/>
      <c r="W263" s="3"/>
      <c r="X263" s="3"/>
      <c r="Y263" s="3"/>
      <c r="Z263" s="3"/>
      <c r="AA263" s="437"/>
      <c r="AB263" s="437"/>
      <c r="AC263" s="437"/>
      <c r="AD263" s="437"/>
      <c r="AE263" s="437"/>
      <c r="AF263" s="437"/>
      <c r="AG263" s="437"/>
      <c r="AH263" s="437"/>
      <c r="AI263" s="437"/>
      <c r="AJ263" s="437"/>
    </row>
    <row r="264" spans="2:36" ht="18.75" hidden="1" x14ac:dyDescent="0.3">
      <c r="B264" s="6"/>
      <c r="C264" s="6"/>
      <c r="D264" s="7" t="str">
        <f>AC264</f>
        <v>C4H9OH</v>
      </c>
      <c r="E264" s="7"/>
      <c r="F264" s="7" t="s">
        <v>49</v>
      </c>
      <c r="G264" s="7" t="str">
        <f>AF264</f>
        <v>⟶</v>
      </c>
      <c r="H264" s="7"/>
      <c r="I264" s="7" t="s">
        <v>31</v>
      </c>
      <c r="J264" s="7"/>
      <c r="K264" s="7" t="s">
        <v>50</v>
      </c>
      <c r="L264" s="107"/>
      <c r="N264" s="3"/>
      <c r="O264" s="3"/>
      <c r="P264" s="3"/>
      <c r="Q264" s="3"/>
      <c r="R264" s="3"/>
      <c r="S264" s="3"/>
      <c r="T264" s="3"/>
      <c r="U264" s="3"/>
      <c r="V264" s="3"/>
      <c r="W264" s="3"/>
      <c r="X264" s="3"/>
      <c r="Y264" s="3"/>
      <c r="Z264" s="3"/>
      <c r="AA264" s="437"/>
      <c r="AB264" s="437">
        <v>1</v>
      </c>
      <c r="AC264" s="445" t="s">
        <v>29</v>
      </c>
      <c r="AD264" s="445">
        <v>6</v>
      </c>
      <c r="AE264" s="445" t="s">
        <v>3</v>
      </c>
      <c r="AF264" s="445" t="s">
        <v>48</v>
      </c>
      <c r="AG264" s="445">
        <v>4</v>
      </c>
      <c r="AH264" s="445" t="s">
        <v>4</v>
      </c>
      <c r="AI264" s="445">
        <v>5</v>
      </c>
      <c r="AJ264" s="445" t="s">
        <v>5</v>
      </c>
    </row>
    <row r="265" spans="2:36" ht="18.75" hidden="1" x14ac:dyDescent="0.3">
      <c r="B265" s="7" t="s">
        <v>6</v>
      </c>
      <c r="C265" s="6"/>
      <c r="D265" s="6">
        <f>AB265</f>
        <v>188</v>
      </c>
      <c r="E265" s="6" t="str">
        <f>IF(SQRT((ABS(AD265-F265))^2)/AD265&gt;0.02,"F","R")</f>
        <v>F</v>
      </c>
      <c r="F265" s="6"/>
      <c r="G265" s="6"/>
      <c r="H265" s="6" t="str">
        <f>IF(SQRT((ABS(AG265-I265))^2)/AG265&gt;0.02,"F","R")</f>
        <v>F</v>
      </c>
      <c r="I265" s="6"/>
      <c r="J265" s="6" t="str">
        <f>IF(SQRT((ABS(AI265-K265))^2)/AI265&gt;0.02,"F","R")</f>
        <v>F</v>
      </c>
      <c r="K265" s="6"/>
      <c r="L265" s="107"/>
      <c r="N265" s="3"/>
      <c r="O265" s="3"/>
      <c r="P265" s="3"/>
      <c r="Q265" s="3"/>
      <c r="R265" s="3"/>
      <c r="S265" s="3"/>
      <c r="T265" s="3"/>
      <c r="U265" s="3"/>
      <c r="V265" s="3"/>
      <c r="W265" s="3"/>
      <c r="X265" s="3"/>
      <c r="Y265" s="3"/>
      <c r="Z265" s="3"/>
      <c r="AA265" s="437" t="s">
        <v>6</v>
      </c>
      <c r="AB265" s="446">
        <v>188</v>
      </c>
      <c r="AC265" s="446"/>
      <c r="AD265" s="446">
        <v>486.99406368051802</v>
      </c>
      <c r="AE265" s="446"/>
      <c r="AF265" s="437"/>
      <c r="AG265" s="446">
        <v>446.51268213707499</v>
      </c>
      <c r="AH265" s="446"/>
      <c r="AI265" s="446">
        <v>228.48138154344304</v>
      </c>
      <c r="AJ265" s="446"/>
    </row>
    <row r="266" spans="2:36" ht="18.75" hidden="1" x14ac:dyDescent="0.3">
      <c r="B266" s="7" t="s">
        <v>7</v>
      </c>
      <c r="C266" s="6" t="str">
        <f>IF(SQRT((ABS(AB266-D266))^2)/AB266&gt;0.02,"F","R")</f>
        <v>F</v>
      </c>
      <c r="D266" s="6"/>
      <c r="E266" s="6" t="str">
        <f>IF(SQRT((ABS(AD266-F266))^2)/AD266&gt;0.02,"F","R")</f>
        <v>F</v>
      </c>
      <c r="F266" s="6"/>
      <c r="G266" s="6"/>
      <c r="H266" s="6" t="str">
        <f>IF(SQRT((ABS(AG266-I266))^2)/AG266&gt;0.02,"F","R")</f>
        <v>F</v>
      </c>
      <c r="I266" s="6"/>
      <c r="J266" s="6" t="str">
        <f>IF(SQRT((ABS(AI266-K266))^2)/AI266&gt;0.02,"F","R")</f>
        <v>F</v>
      </c>
      <c r="K266" s="6"/>
      <c r="L266" s="107"/>
      <c r="N266" s="3"/>
      <c r="O266" s="3"/>
      <c r="P266" s="3"/>
      <c r="Q266" s="3"/>
      <c r="R266" s="3"/>
      <c r="S266" s="3"/>
      <c r="T266" s="3"/>
      <c r="U266" s="3"/>
      <c r="V266" s="3"/>
      <c r="W266" s="3"/>
      <c r="X266" s="3"/>
      <c r="Y266" s="3"/>
      <c r="Z266" s="3"/>
      <c r="AA266" s="437" t="s">
        <v>7</v>
      </c>
      <c r="AB266" s="446">
        <v>74.12</v>
      </c>
      <c r="AC266" s="446"/>
      <c r="AD266" s="446">
        <v>32</v>
      </c>
      <c r="AE266" s="446"/>
      <c r="AF266" s="437"/>
      <c r="AG266" s="446">
        <v>44.01</v>
      </c>
      <c r="AH266" s="446"/>
      <c r="AI266" s="446">
        <v>18.015999999999998</v>
      </c>
      <c r="AJ266" s="446"/>
    </row>
    <row r="267" spans="2:36" ht="18.75" hidden="1" x14ac:dyDescent="0.3">
      <c r="B267" s="7" t="s">
        <v>8</v>
      </c>
      <c r="C267" s="6" t="str">
        <f>IF(SQRT((ABS(AB267-D267))^2)/AB267&gt;0.02,"F","R")</f>
        <v>F</v>
      </c>
      <c r="D267" s="6"/>
      <c r="E267" s="6" t="str">
        <f>IF(SQRT((ABS(AD267-F267))^2)/AD267&gt;0.02,"F","R")</f>
        <v>F</v>
      </c>
      <c r="F267" s="6"/>
      <c r="G267" s="6"/>
      <c r="H267" s="6" t="str">
        <f>IF(SQRT((ABS(AG267-I267))^2)/AG267&gt;0.02,"F","R")</f>
        <v>F</v>
      </c>
      <c r="I267" s="6"/>
      <c r="J267" s="6" t="str">
        <f>IF(SQRT((ABS(AI267-K267))^2)/AI267&gt;0.02,"F","R")</f>
        <v>F</v>
      </c>
      <c r="K267" s="6"/>
      <c r="L267" s="107"/>
      <c r="N267" s="3"/>
      <c r="O267" s="3"/>
      <c r="P267" s="3"/>
      <c r="Q267" s="3"/>
      <c r="R267" s="3"/>
      <c r="S267" s="3"/>
      <c r="T267" s="3"/>
      <c r="U267" s="3"/>
      <c r="V267" s="3"/>
      <c r="W267" s="3"/>
      <c r="X267" s="3"/>
      <c r="Y267" s="3"/>
      <c r="Z267" s="3"/>
      <c r="AA267" s="437" t="s">
        <v>8</v>
      </c>
      <c r="AB267" s="446">
        <v>2.5364274150026982</v>
      </c>
      <c r="AC267" s="446"/>
      <c r="AD267" s="446">
        <v>15.218564490016188</v>
      </c>
      <c r="AE267" s="446"/>
      <c r="AF267" s="437"/>
      <c r="AG267" s="446">
        <v>10.145709660010793</v>
      </c>
      <c r="AH267" s="446"/>
      <c r="AI267" s="446">
        <v>12.682137075013491</v>
      </c>
      <c r="AJ267" s="446"/>
    </row>
    <row r="268" spans="2:36" ht="18.75" hidden="1" x14ac:dyDescent="0.3">
      <c r="B268" s="7" t="s">
        <v>9</v>
      </c>
      <c r="C268" s="6" t="str">
        <f>IF(SQRT((ABS(AB268-D268))^2)/AB268&gt;0.02,"F","R")</f>
        <v>F</v>
      </c>
      <c r="D268" s="6"/>
      <c r="E268" s="6" t="str">
        <f>IF(SQRT((ABS(AD268-F268))^2)/AD268&gt;0.02,"F","R")</f>
        <v>F</v>
      </c>
      <c r="F268" s="6"/>
      <c r="G268" s="6"/>
      <c r="H268" s="6" t="str">
        <f>IF(SQRT((ABS(AG268-I268))^2)/AG268&gt;0.02,"F","R")</f>
        <v>F</v>
      </c>
      <c r="I268" s="6"/>
      <c r="J268" s="6" t="str">
        <f>IF(SQRT((ABS(AI268-K268))^2)/AI268&gt;0.02,"F","R")</f>
        <v>F</v>
      </c>
      <c r="K268" s="6"/>
      <c r="L268" s="107"/>
      <c r="N268" s="3"/>
      <c r="O268" s="3"/>
      <c r="P268" s="3"/>
      <c r="Q268" s="3"/>
      <c r="R268" s="3"/>
      <c r="S268" s="3"/>
      <c r="T268" s="3"/>
      <c r="U268" s="3"/>
      <c r="V268" s="3"/>
      <c r="W268" s="3"/>
      <c r="X268" s="3"/>
      <c r="Y268" s="3"/>
      <c r="Z268" s="3"/>
      <c r="AA268" s="437" t="s">
        <v>9</v>
      </c>
      <c r="AB268" s="446">
        <v>1</v>
      </c>
      <c r="AC268" s="446"/>
      <c r="AD268" s="446">
        <v>6</v>
      </c>
      <c r="AE268" s="446"/>
      <c r="AF268" s="437"/>
      <c r="AG268" s="446">
        <v>4</v>
      </c>
      <c r="AH268" s="446"/>
      <c r="AI268" s="446">
        <v>5</v>
      </c>
      <c r="AJ268" s="446"/>
    </row>
    <row r="269" spans="2:36" hidden="1" x14ac:dyDescent="0.25">
      <c r="B269" s="106"/>
      <c r="C269" s="3"/>
      <c r="D269" s="3"/>
      <c r="E269" s="3"/>
      <c r="F269" s="3"/>
      <c r="G269" s="3"/>
      <c r="H269" s="3"/>
      <c r="I269" s="3"/>
      <c r="J269" s="3"/>
      <c r="K269" s="3"/>
      <c r="L269" s="107"/>
      <c r="N269" s="3"/>
      <c r="O269" s="3"/>
      <c r="P269" s="3"/>
      <c r="Q269" s="3"/>
      <c r="R269" s="3"/>
      <c r="S269" s="3"/>
      <c r="T269" s="3"/>
      <c r="U269" s="3"/>
      <c r="V269" s="3"/>
      <c r="W269" s="3"/>
      <c r="X269" s="3"/>
      <c r="Y269" s="3"/>
      <c r="Z269" s="3"/>
      <c r="AA269" s="437"/>
      <c r="AB269" s="437"/>
      <c r="AC269" s="437"/>
      <c r="AD269" s="437"/>
      <c r="AE269" s="437"/>
      <c r="AF269" s="437"/>
      <c r="AG269" s="437"/>
      <c r="AH269" s="437"/>
      <c r="AI269" s="437"/>
      <c r="AJ269" s="437"/>
    </row>
    <row r="270" spans="2:36" ht="18.75" hidden="1" x14ac:dyDescent="0.3">
      <c r="B270" s="6"/>
      <c r="C270" s="6"/>
      <c r="D270" s="7" t="str">
        <f>AC270</f>
        <v>C8H18</v>
      </c>
      <c r="E270" s="7"/>
      <c r="F270" s="7" t="s">
        <v>49</v>
      </c>
      <c r="G270" s="7" t="str">
        <f>AF270</f>
        <v>⟶</v>
      </c>
      <c r="H270" s="7"/>
      <c r="I270" s="7" t="s">
        <v>31</v>
      </c>
      <c r="J270" s="7"/>
      <c r="K270" s="7" t="s">
        <v>50</v>
      </c>
      <c r="L270" s="107"/>
      <c r="N270" s="3"/>
      <c r="O270" s="3"/>
      <c r="P270" s="3"/>
      <c r="Q270" s="3"/>
      <c r="R270" s="3"/>
      <c r="S270" s="3"/>
      <c r="T270" s="3"/>
      <c r="U270" s="3"/>
      <c r="V270" s="3"/>
      <c r="W270" s="3"/>
      <c r="X270" s="3"/>
      <c r="Y270" s="3"/>
      <c r="Z270" s="3"/>
      <c r="AA270" s="437"/>
      <c r="AB270" s="437">
        <v>2</v>
      </c>
      <c r="AC270" s="445" t="s">
        <v>13</v>
      </c>
      <c r="AD270" s="445">
        <v>25</v>
      </c>
      <c r="AE270" s="445" t="s">
        <v>3</v>
      </c>
      <c r="AF270" s="445" t="s">
        <v>48</v>
      </c>
      <c r="AG270" s="445">
        <v>16</v>
      </c>
      <c r="AH270" s="445" t="s">
        <v>4</v>
      </c>
      <c r="AI270" s="445">
        <v>18</v>
      </c>
      <c r="AJ270" s="445" t="s">
        <v>5</v>
      </c>
    </row>
    <row r="271" spans="2:36" ht="18.75" hidden="1" x14ac:dyDescent="0.3">
      <c r="B271" s="7" t="s">
        <v>6</v>
      </c>
      <c r="C271" s="6"/>
      <c r="D271" s="6">
        <f>AB271</f>
        <v>115</v>
      </c>
      <c r="E271" s="6" t="str">
        <f>IF(SQRT((ABS(AD271-F271))^2)/AD271&gt;0.02,"F","R")</f>
        <v>F</v>
      </c>
      <c r="F271" s="6"/>
      <c r="G271" s="6"/>
      <c r="H271" s="6" t="str">
        <f>IF(SQRT((ABS(AG271-I271))^2)/AG271&gt;0.02,"F","R")</f>
        <v>F</v>
      </c>
      <c r="I271" s="6"/>
      <c r="J271" s="6" t="str">
        <f>IF(SQRT((ABS(AI271-K271))^2)/AI271&gt;0.02,"F","R")</f>
        <v>F</v>
      </c>
      <c r="K271" s="6"/>
      <c r="L271" s="107"/>
      <c r="N271" s="3"/>
      <c r="O271" s="3"/>
      <c r="P271" s="3"/>
      <c r="Q271" s="3"/>
      <c r="R271" s="3"/>
      <c r="S271" s="3"/>
      <c r="T271" s="3"/>
      <c r="U271" s="3"/>
      <c r="V271" s="3"/>
      <c r="W271" s="3"/>
      <c r="X271" s="3"/>
      <c r="Y271" s="3"/>
      <c r="Z271" s="3"/>
      <c r="AA271" s="437" t="s">
        <v>6</v>
      </c>
      <c r="AB271" s="446">
        <v>115</v>
      </c>
      <c r="AC271" s="446"/>
      <c r="AD271" s="446">
        <v>402.71746743241357</v>
      </c>
      <c r="AE271" s="446"/>
      <c r="AF271" s="437"/>
      <c r="AG271" s="446">
        <v>354.47191483401042</v>
      </c>
      <c r="AH271" s="446"/>
      <c r="AI271" s="446">
        <v>163.24555259840315</v>
      </c>
      <c r="AJ271" s="446"/>
    </row>
    <row r="272" spans="2:36" ht="18.75" hidden="1" x14ac:dyDescent="0.3">
      <c r="B272" s="7" t="s">
        <v>7</v>
      </c>
      <c r="C272" s="6" t="str">
        <f>IF(SQRT((ABS(AB272-D272))^2)/AB272&gt;0.02,"F","R")</f>
        <v>F</v>
      </c>
      <c r="D272" s="6"/>
      <c r="E272" s="6" t="str">
        <f>IF(SQRT((ABS(AD272-F272))^2)/AD272&gt;0.02,"F","R")</f>
        <v>F</v>
      </c>
      <c r="F272" s="6"/>
      <c r="G272" s="6"/>
      <c r="H272" s="6" t="str">
        <f>IF(SQRT((ABS(AG272-I272))^2)/AG272&gt;0.02,"F","R")</f>
        <v>F</v>
      </c>
      <c r="I272" s="6"/>
      <c r="J272" s="6" t="str">
        <f>IF(SQRT((ABS(AI272-K272))^2)/AI272&gt;0.02,"F","R")</f>
        <v>F</v>
      </c>
      <c r="K272" s="6"/>
      <c r="L272" s="107"/>
      <c r="N272" s="3"/>
      <c r="O272" s="3"/>
      <c r="P272" s="3"/>
      <c r="Q272" s="3"/>
      <c r="R272" s="3"/>
      <c r="S272" s="3"/>
      <c r="T272" s="3"/>
      <c r="U272" s="3"/>
      <c r="V272" s="3"/>
      <c r="W272" s="3"/>
      <c r="X272" s="3"/>
      <c r="Y272" s="3"/>
      <c r="Z272" s="3"/>
      <c r="AA272" s="437" t="s">
        <v>7</v>
      </c>
      <c r="AB272" s="446">
        <v>114.22399999999999</v>
      </c>
      <c r="AC272" s="446"/>
      <c r="AD272" s="446">
        <v>32</v>
      </c>
      <c r="AE272" s="446"/>
      <c r="AF272" s="437"/>
      <c r="AG272" s="446">
        <v>44.01</v>
      </c>
      <c r="AH272" s="446"/>
      <c r="AI272" s="446">
        <v>18.015999999999998</v>
      </c>
      <c r="AJ272" s="446"/>
    </row>
    <row r="273" spans="2:36" ht="18.75" hidden="1" x14ac:dyDescent="0.3">
      <c r="B273" s="7" t="s">
        <v>8</v>
      </c>
      <c r="C273" s="6" t="str">
        <f>IF(SQRT((ABS(AB273-D273))^2)/AB273&gt;0.02,"F","R")</f>
        <v>F</v>
      </c>
      <c r="D273" s="6"/>
      <c r="E273" s="6" t="str">
        <f>IF(SQRT((ABS(AD273-F273))^2)/AD273&gt;0.02,"F","R")</f>
        <v>F</v>
      </c>
      <c r="F273" s="6"/>
      <c r="G273" s="6"/>
      <c r="H273" s="6" t="str">
        <f>IF(SQRT((ABS(AG273-I273))^2)/AG273&gt;0.02,"F","R")</f>
        <v>F</v>
      </c>
      <c r="I273" s="6"/>
      <c r="J273" s="6" t="str">
        <f>IF(SQRT((ABS(AI273-K273))^2)/AI273&gt;0.02,"F","R")</f>
        <v>F</v>
      </c>
      <c r="K273" s="6"/>
      <c r="L273" s="107"/>
      <c r="N273" s="3"/>
      <c r="O273" s="3"/>
      <c r="P273" s="3"/>
      <c r="Q273" s="3"/>
      <c r="R273" s="3"/>
      <c r="S273" s="3"/>
      <c r="T273" s="3"/>
      <c r="U273" s="3"/>
      <c r="V273" s="3"/>
      <c r="W273" s="3"/>
      <c r="X273" s="3"/>
      <c r="Y273" s="3"/>
      <c r="Z273" s="3"/>
      <c r="AA273" s="437" t="s">
        <v>8</v>
      </c>
      <c r="AB273" s="446">
        <v>1.0067936685810339</v>
      </c>
      <c r="AC273" s="446"/>
      <c r="AD273" s="446">
        <v>12.584920857262924</v>
      </c>
      <c r="AE273" s="446"/>
      <c r="AF273" s="437"/>
      <c r="AG273" s="446">
        <v>8.0543493486482713</v>
      </c>
      <c r="AH273" s="446"/>
      <c r="AI273" s="446">
        <v>9.0611430172293055</v>
      </c>
      <c r="AJ273" s="446"/>
    </row>
    <row r="274" spans="2:36" ht="18.75" hidden="1" x14ac:dyDescent="0.3">
      <c r="B274" s="7" t="s">
        <v>9</v>
      </c>
      <c r="C274" s="6" t="str">
        <f>IF(SQRT((ABS(AB274-D274))^2)/AB274&gt;0.02,"F","R")</f>
        <v>F</v>
      </c>
      <c r="D274" s="6"/>
      <c r="E274" s="6" t="str">
        <f>IF(SQRT((ABS(AD274-F274))^2)/AD274&gt;0.02,"F","R")</f>
        <v>F</v>
      </c>
      <c r="F274" s="6"/>
      <c r="G274" s="6"/>
      <c r="H274" s="6" t="str">
        <f>IF(SQRT((ABS(AG274-I274))^2)/AG274&gt;0.02,"F","R")</f>
        <v>F</v>
      </c>
      <c r="I274" s="6"/>
      <c r="J274" s="6" t="str">
        <f>IF(SQRT((ABS(AI274-K274))^2)/AI274&gt;0.02,"F","R")</f>
        <v>F</v>
      </c>
      <c r="K274" s="6"/>
      <c r="L274" s="107"/>
      <c r="N274" s="3"/>
      <c r="O274" s="3"/>
      <c r="P274" s="3"/>
      <c r="Q274" s="3"/>
      <c r="R274" s="3"/>
      <c r="S274" s="3"/>
      <c r="T274" s="3"/>
      <c r="U274" s="3"/>
      <c r="V274" s="3"/>
      <c r="W274" s="3"/>
      <c r="X274" s="3"/>
      <c r="Y274" s="3"/>
      <c r="Z274" s="3"/>
      <c r="AA274" s="437" t="s">
        <v>9</v>
      </c>
      <c r="AB274" s="446">
        <v>2</v>
      </c>
      <c r="AC274" s="446"/>
      <c r="AD274" s="446">
        <v>25</v>
      </c>
      <c r="AE274" s="446"/>
      <c r="AF274" s="437"/>
      <c r="AG274" s="446">
        <v>16</v>
      </c>
      <c r="AH274" s="446"/>
      <c r="AI274" s="446">
        <v>18</v>
      </c>
      <c r="AJ274" s="446"/>
    </row>
    <row r="275" spans="2:36" hidden="1" x14ac:dyDescent="0.25">
      <c r="B275" s="106"/>
      <c r="C275" s="3"/>
      <c r="D275" s="3"/>
      <c r="E275" s="3"/>
      <c r="F275" s="3"/>
      <c r="G275" s="3"/>
      <c r="H275" s="3"/>
      <c r="I275" s="3"/>
      <c r="J275" s="3"/>
      <c r="K275" s="3"/>
      <c r="L275" s="107"/>
      <c r="N275" s="3"/>
      <c r="O275" s="3"/>
      <c r="P275" s="3"/>
      <c r="Q275" s="3"/>
      <c r="R275" s="3"/>
      <c r="S275" s="3"/>
      <c r="T275" s="3"/>
      <c r="U275" s="3"/>
      <c r="V275" s="3"/>
      <c r="W275" s="3"/>
      <c r="X275" s="3"/>
      <c r="Y275" s="3"/>
      <c r="Z275" s="3"/>
      <c r="AA275" s="437"/>
      <c r="AB275" s="437"/>
      <c r="AC275" s="437"/>
      <c r="AD275" s="437"/>
      <c r="AE275" s="437"/>
      <c r="AF275" s="437"/>
      <c r="AG275" s="437"/>
      <c r="AH275" s="437"/>
      <c r="AI275" s="437"/>
      <c r="AJ275" s="437"/>
    </row>
    <row r="276" spans="2:36" ht="18.75" hidden="1" x14ac:dyDescent="0.3">
      <c r="B276" s="6"/>
      <c r="C276" s="6"/>
      <c r="D276" s="7" t="str">
        <f>AC276</f>
        <v>C7H14</v>
      </c>
      <c r="E276" s="7"/>
      <c r="F276" s="7" t="s">
        <v>49</v>
      </c>
      <c r="G276" s="7" t="str">
        <f>AF276</f>
        <v>⟶</v>
      </c>
      <c r="H276" s="7"/>
      <c r="I276" s="7" t="s">
        <v>31</v>
      </c>
      <c r="J276" s="7"/>
      <c r="K276" s="7" t="s">
        <v>50</v>
      </c>
      <c r="L276" s="107"/>
      <c r="N276" s="3"/>
      <c r="O276" s="3"/>
      <c r="P276" s="3"/>
      <c r="Q276" s="3"/>
      <c r="R276" s="3"/>
      <c r="S276" s="3"/>
      <c r="T276" s="3"/>
      <c r="U276" s="3"/>
      <c r="V276" s="3"/>
      <c r="W276" s="3"/>
      <c r="X276" s="3"/>
      <c r="Y276" s="3"/>
      <c r="Z276" s="3"/>
      <c r="AA276" s="437"/>
      <c r="AB276" s="437">
        <v>2</v>
      </c>
      <c r="AC276" s="445" t="s">
        <v>14</v>
      </c>
      <c r="AD276" s="445">
        <v>21</v>
      </c>
      <c r="AE276" s="445" t="s">
        <v>3</v>
      </c>
      <c r="AF276" s="445" t="s">
        <v>48</v>
      </c>
      <c r="AG276" s="445">
        <v>14</v>
      </c>
      <c r="AH276" s="445" t="s">
        <v>4</v>
      </c>
      <c r="AI276" s="445">
        <v>14</v>
      </c>
      <c r="AJ276" s="445" t="s">
        <v>5</v>
      </c>
    </row>
    <row r="277" spans="2:36" ht="18.75" hidden="1" x14ac:dyDescent="0.3">
      <c r="B277" s="7" t="s">
        <v>6</v>
      </c>
      <c r="C277" s="6"/>
      <c r="D277" s="6">
        <f>AB277</f>
        <v>139</v>
      </c>
      <c r="E277" s="6" t="str">
        <f>IF(SQRT((ABS(AD277-F277))^2)/AD277&gt;0.02,"F","R")</f>
        <v>F</v>
      </c>
      <c r="F277" s="6"/>
      <c r="G277" s="6"/>
      <c r="H277" s="6" t="str">
        <f>IF(SQRT((ABS(AG277-I277))^2)/AG277&gt;0.02,"F","R")</f>
        <v>F</v>
      </c>
      <c r="I277" s="6"/>
      <c r="J277" s="6" t="str">
        <f>IF(SQRT((ABS(AI277-K277))^2)/AI277&gt;0.02,"F","R")</f>
        <v>F</v>
      </c>
      <c r="K277" s="6"/>
      <c r="L277" s="107"/>
      <c r="N277" s="3"/>
      <c r="O277" s="3"/>
      <c r="P277" s="3"/>
      <c r="Q277" s="3"/>
      <c r="R277" s="3"/>
      <c r="S277" s="3"/>
      <c r="T277" s="3"/>
      <c r="U277" s="3"/>
      <c r="V277" s="3"/>
      <c r="W277" s="3"/>
      <c r="X277" s="3"/>
      <c r="Y277" s="3"/>
      <c r="Z277" s="3"/>
      <c r="AA277" s="437" t="s">
        <v>6</v>
      </c>
      <c r="AB277" s="446">
        <v>139</v>
      </c>
      <c r="AC277" s="446"/>
      <c r="AD277" s="446">
        <v>475.68800798517043</v>
      </c>
      <c r="AE277" s="446"/>
      <c r="AF277" s="437"/>
      <c r="AG277" s="446">
        <v>436.14644232140313</v>
      </c>
      <c r="AH277" s="446"/>
      <c r="AI277" s="446">
        <v>178.54156566376727</v>
      </c>
      <c r="AJ277" s="446"/>
    </row>
    <row r="278" spans="2:36" ht="18.75" hidden="1" x14ac:dyDescent="0.3">
      <c r="B278" s="7" t="s">
        <v>7</v>
      </c>
      <c r="C278" s="6" t="str">
        <f>IF(SQRT((ABS(AB278-D278))^2)/AB278&gt;0.02,"F","R")</f>
        <v>F</v>
      </c>
      <c r="D278" s="6"/>
      <c r="E278" s="6" t="str">
        <f>IF(SQRT((ABS(AD278-F278))^2)/AD278&gt;0.02,"F","R")</f>
        <v>F</v>
      </c>
      <c r="F278" s="6"/>
      <c r="G278" s="6"/>
      <c r="H278" s="6" t="str">
        <f>IF(SQRT((ABS(AG278-I278))^2)/AG278&gt;0.02,"F","R")</f>
        <v>F</v>
      </c>
      <c r="I278" s="6"/>
      <c r="J278" s="6" t="str">
        <f>IF(SQRT((ABS(AI278-K278))^2)/AI278&gt;0.02,"F","R")</f>
        <v>F</v>
      </c>
      <c r="K278" s="6"/>
      <c r="L278" s="107"/>
      <c r="N278" s="3"/>
      <c r="O278" s="3"/>
      <c r="P278" s="3"/>
      <c r="Q278" s="3"/>
      <c r="R278" s="3"/>
      <c r="S278" s="3"/>
      <c r="T278" s="3"/>
      <c r="U278" s="3"/>
      <c r="V278" s="3"/>
      <c r="W278" s="3"/>
      <c r="X278" s="3"/>
      <c r="Y278" s="3"/>
      <c r="Z278" s="3"/>
      <c r="AA278" s="437" t="s">
        <v>7</v>
      </c>
      <c r="AB278" s="446">
        <v>98.181999999999988</v>
      </c>
      <c r="AC278" s="446"/>
      <c r="AD278" s="446">
        <v>32</v>
      </c>
      <c r="AE278" s="446"/>
      <c r="AF278" s="437"/>
      <c r="AG278" s="446">
        <v>44.01</v>
      </c>
      <c r="AH278" s="446"/>
      <c r="AI278" s="446">
        <v>18.015999999999998</v>
      </c>
      <c r="AJ278" s="446"/>
    </row>
    <row r="279" spans="2:36" ht="18.75" hidden="1" x14ac:dyDescent="0.3">
      <c r="B279" s="7" t="s">
        <v>8</v>
      </c>
      <c r="C279" s="6" t="str">
        <f>IF(SQRT((ABS(AB279-D279))^2)/AB279&gt;0.02,"F","R")</f>
        <v>F</v>
      </c>
      <c r="D279" s="6"/>
      <c r="E279" s="6" t="str">
        <f>IF(SQRT((ABS(AD279-F279))^2)/AD279&gt;0.02,"F","R")</f>
        <v>F</v>
      </c>
      <c r="F279" s="6"/>
      <c r="G279" s="6"/>
      <c r="H279" s="6" t="str">
        <f>IF(SQRT((ABS(AG279-I279))^2)/AG279&gt;0.02,"F","R")</f>
        <v>F</v>
      </c>
      <c r="I279" s="6"/>
      <c r="J279" s="6" t="str">
        <f>IF(SQRT((ABS(AI279-K279))^2)/AI279&gt;0.02,"F","R")</f>
        <v>F</v>
      </c>
      <c r="K279" s="6"/>
      <c r="L279" s="107"/>
      <c r="N279" s="3"/>
      <c r="O279" s="3"/>
      <c r="P279" s="3"/>
      <c r="Q279" s="3"/>
      <c r="R279" s="3"/>
      <c r="S279" s="3"/>
      <c r="T279" s="3"/>
      <c r="U279" s="3"/>
      <c r="V279" s="3"/>
      <c r="W279" s="3"/>
      <c r="X279" s="3"/>
      <c r="Y279" s="3"/>
      <c r="Z279" s="3"/>
      <c r="AA279" s="437" t="s">
        <v>8</v>
      </c>
      <c r="AB279" s="446">
        <v>1.4157381190034835</v>
      </c>
      <c r="AC279" s="446"/>
      <c r="AD279" s="446">
        <v>14.865250249536576</v>
      </c>
      <c r="AE279" s="446"/>
      <c r="AF279" s="437"/>
      <c r="AG279" s="446">
        <v>9.9101668330243839</v>
      </c>
      <c r="AH279" s="446"/>
      <c r="AI279" s="446">
        <v>9.9101668330243839</v>
      </c>
      <c r="AJ279" s="446"/>
    </row>
    <row r="280" spans="2:36" ht="18.75" hidden="1" x14ac:dyDescent="0.3">
      <c r="B280" s="7" t="s">
        <v>9</v>
      </c>
      <c r="C280" s="6" t="str">
        <f>IF(SQRT((ABS(AB280-D280))^2)/AB280&gt;0.02,"F","R")</f>
        <v>F</v>
      </c>
      <c r="D280" s="6"/>
      <c r="E280" s="6" t="str">
        <f>IF(SQRT((ABS(AD280-F280))^2)/AD280&gt;0.02,"F","R")</f>
        <v>F</v>
      </c>
      <c r="F280" s="6"/>
      <c r="G280" s="6"/>
      <c r="H280" s="6" t="str">
        <f>IF(SQRT((ABS(AG280-I280))^2)/AG280&gt;0.02,"F","R")</f>
        <v>F</v>
      </c>
      <c r="I280" s="6"/>
      <c r="J280" s="6" t="str">
        <f>IF(SQRT((ABS(AI280-K280))^2)/AI280&gt;0.02,"F","R")</f>
        <v>F</v>
      </c>
      <c r="K280" s="6"/>
      <c r="L280" s="107"/>
      <c r="N280" s="3"/>
      <c r="O280" s="3"/>
      <c r="P280" s="3"/>
      <c r="Q280" s="3"/>
      <c r="R280" s="3"/>
      <c r="S280" s="3"/>
      <c r="T280" s="3"/>
      <c r="U280" s="3"/>
      <c r="V280" s="3"/>
      <c r="W280" s="3"/>
      <c r="X280" s="3"/>
      <c r="Y280" s="3"/>
      <c r="Z280" s="3"/>
      <c r="AA280" s="437" t="s">
        <v>9</v>
      </c>
      <c r="AB280" s="446">
        <v>2</v>
      </c>
      <c r="AC280" s="446"/>
      <c r="AD280" s="446">
        <v>21</v>
      </c>
      <c r="AE280" s="446"/>
      <c r="AF280" s="437"/>
      <c r="AG280" s="446">
        <v>14</v>
      </c>
      <c r="AH280" s="446"/>
      <c r="AI280" s="446">
        <v>14</v>
      </c>
      <c r="AJ280" s="446"/>
    </row>
    <row r="281" spans="2:36" hidden="1" x14ac:dyDescent="0.25">
      <c r="B281" s="106"/>
      <c r="C281" s="3"/>
      <c r="D281" s="3"/>
      <c r="E281" s="3"/>
      <c r="F281" s="3"/>
      <c r="G281" s="3"/>
      <c r="H281" s="3"/>
      <c r="I281" s="3"/>
      <c r="J281" s="3"/>
      <c r="K281" s="3"/>
      <c r="L281" s="107"/>
      <c r="N281" s="3"/>
      <c r="O281" s="3"/>
      <c r="P281" s="3"/>
      <c r="Q281" s="3"/>
      <c r="R281" s="3"/>
      <c r="S281" s="3"/>
      <c r="T281" s="3"/>
      <c r="U281" s="3"/>
      <c r="V281" s="3"/>
      <c r="W281" s="3"/>
      <c r="X281" s="3"/>
      <c r="Y281" s="3"/>
      <c r="Z281" s="3"/>
      <c r="AA281" s="437"/>
      <c r="AB281" s="437"/>
      <c r="AC281" s="437"/>
      <c r="AD281" s="437"/>
      <c r="AE281" s="437"/>
      <c r="AF281" s="437"/>
      <c r="AG281" s="437"/>
      <c r="AH281" s="437"/>
      <c r="AI281" s="437"/>
      <c r="AJ281" s="437"/>
    </row>
    <row r="282" spans="2:36" ht="18.75" hidden="1" x14ac:dyDescent="0.3">
      <c r="B282" s="6"/>
      <c r="C282" s="6"/>
      <c r="D282" s="7" t="str">
        <f>AC282</f>
        <v>C10H22</v>
      </c>
      <c r="E282" s="7"/>
      <c r="F282" s="7" t="s">
        <v>49</v>
      </c>
      <c r="G282" s="7" t="str">
        <f>AF282</f>
        <v>⟶</v>
      </c>
      <c r="H282" s="7"/>
      <c r="I282" s="7" t="s">
        <v>31</v>
      </c>
      <c r="J282" s="7"/>
      <c r="K282" s="7" t="s">
        <v>50</v>
      </c>
      <c r="L282" s="107"/>
      <c r="N282" s="3"/>
      <c r="O282" s="3"/>
      <c r="P282" s="3"/>
      <c r="Q282" s="3"/>
      <c r="R282" s="3"/>
      <c r="S282" s="3"/>
      <c r="T282" s="3"/>
      <c r="U282" s="3"/>
      <c r="V282" s="3"/>
      <c r="W282" s="3"/>
      <c r="X282" s="3"/>
      <c r="Y282" s="3"/>
      <c r="Z282" s="3"/>
      <c r="AA282" s="437"/>
      <c r="AB282" s="437">
        <v>2</v>
      </c>
      <c r="AC282" s="445" t="s">
        <v>20</v>
      </c>
      <c r="AD282" s="445">
        <v>31</v>
      </c>
      <c r="AE282" s="445" t="s">
        <v>3</v>
      </c>
      <c r="AF282" s="445" t="s">
        <v>48</v>
      </c>
      <c r="AG282" s="445">
        <v>20</v>
      </c>
      <c r="AH282" s="445" t="s">
        <v>4</v>
      </c>
      <c r="AI282" s="445">
        <v>22</v>
      </c>
      <c r="AJ282" s="445" t="s">
        <v>5</v>
      </c>
    </row>
    <row r="283" spans="2:36" ht="18.75" hidden="1" x14ac:dyDescent="0.3">
      <c r="B283" s="7" t="s">
        <v>6</v>
      </c>
      <c r="C283" s="6"/>
      <c r="D283" s="6">
        <f>AB283</f>
        <v>9</v>
      </c>
      <c r="E283" s="6" t="str">
        <f>IF(SQRT((ABS(AD283-F283))^2)/AD283&gt;0.02,"F","R")</f>
        <v>F</v>
      </c>
      <c r="F283" s="6"/>
      <c r="G283" s="6"/>
      <c r="H283" s="6" t="str">
        <f>IF(SQRT((ABS(AG283-I283))^2)/AG283&gt;0.02,"F","R")</f>
        <v>F</v>
      </c>
      <c r="I283" s="6"/>
      <c r="J283" s="6" t="str">
        <f>IF(SQRT((ABS(AI283-K283))^2)/AI283&gt;0.02,"F","R")</f>
        <v>F</v>
      </c>
      <c r="K283" s="6"/>
      <c r="L283" s="107"/>
      <c r="N283" s="3"/>
      <c r="O283" s="3"/>
      <c r="P283" s="3"/>
      <c r="Q283" s="3"/>
      <c r="R283" s="3"/>
      <c r="S283" s="3"/>
      <c r="T283" s="3"/>
      <c r="U283" s="3"/>
      <c r="V283" s="3"/>
      <c r="W283" s="3"/>
      <c r="X283" s="3"/>
      <c r="Y283" s="3"/>
      <c r="Z283" s="3"/>
      <c r="AA283" s="437" t="s">
        <v>6</v>
      </c>
      <c r="AB283" s="446">
        <v>9</v>
      </c>
      <c r="AC283" s="446"/>
      <c r="AD283" s="446">
        <v>31.37563608760437</v>
      </c>
      <c r="AE283" s="446"/>
      <c r="AF283" s="437"/>
      <c r="AG283" s="446">
        <v>27.839551294666695</v>
      </c>
      <c r="AH283" s="446"/>
      <c r="AI283" s="446">
        <v>12.536084792937668</v>
      </c>
      <c r="AJ283" s="446"/>
    </row>
    <row r="284" spans="2:36" ht="18.75" hidden="1" x14ac:dyDescent="0.3">
      <c r="B284" s="7" t="s">
        <v>7</v>
      </c>
      <c r="C284" s="6" t="str">
        <f>IF(SQRT((ABS(AB284-D284))^2)/AB284&gt;0.02,"F","R")</f>
        <v>F</v>
      </c>
      <c r="D284" s="6"/>
      <c r="E284" s="6" t="str">
        <f>IF(SQRT((ABS(AD284-F284))^2)/AD284&gt;0.02,"F","R")</f>
        <v>F</v>
      </c>
      <c r="F284" s="6"/>
      <c r="G284" s="6"/>
      <c r="H284" s="6" t="str">
        <f>IF(SQRT((ABS(AG284-I284))^2)/AG284&gt;0.02,"F","R")</f>
        <v>F</v>
      </c>
      <c r="I284" s="6"/>
      <c r="J284" s="6" t="str">
        <f>IF(SQRT((ABS(AI284-K284))^2)/AI284&gt;0.02,"F","R")</f>
        <v>F</v>
      </c>
      <c r="K284" s="6"/>
      <c r="L284" s="107"/>
      <c r="N284" s="3"/>
      <c r="O284" s="3"/>
      <c r="P284" s="3"/>
      <c r="Q284" s="3"/>
      <c r="R284" s="3"/>
      <c r="S284" s="3"/>
      <c r="T284" s="3"/>
      <c r="U284" s="3"/>
      <c r="V284" s="3"/>
      <c r="W284" s="3"/>
      <c r="X284" s="3"/>
      <c r="Y284" s="3"/>
      <c r="Z284" s="3"/>
      <c r="AA284" s="437" t="s">
        <v>7</v>
      </c>
      <c r="AB284" s="446">
        <v>142.27600000000001</v>
      </c>
      <c r="AC284" s="446"/>
      <c r="AD284" s="446">
        <v>32</v>
      </c>
      <c r="AE284" s="446"/>
      <c r="AF284" s="437"/>
      <c r="AG284" s="446">
        <v>44.01</v>
      </c>
      <c r="AH284" s="446"/>
      <c r="AI284" s="446">
        <v>18.015999999999998</v>
      </c>
      <c r="AJ284" s="446"/>
    </row>
    <row r="285" spans="2:36" ht="18.75" hidden="1" x14ac:dyDescent="0.3">
      <c r="B285" s="7" t="s">
        <v>8</v>
      </c>
      <c r="C285" s="6" t="str">
        <f>IF(SQRT((ABS(AB285-D285))^2)/AB285&gt;0.02,"F","R")</f>
        <v>F</v>
      </c>
      <c r="D285" s="6"/>
      <c r="E285" s="6" t="str">
        <f>IF(SQRT((ABS(AD285-F285))^2)/AD285&gt;0.02,"F","R")</f>
        <v>F</v>
      </c>
      <c r="F285" s="6"/>
      <c r="G285" s="6"/>
      <c r="H285" s="6" t="str">
        <f>IF(SQRT((ABS(AG285-I285))^2)/AG285&gt;0.02,"F","R")</f>
        <v>F</v>
      </c>
      <c r="I285" s="6"/>
      <c r="J285" s="6" t="str">
        <f>IF(SQRT((ABS(AI285-K285))^2)/AI285&gt;0.02,"F","R")</f>
        <v>F</v>
      </c>
      <c r="K285" s="6"/>
      <c r="L285" s="107"/>
      <c r="N285" s="3"/>
      <c r="O285" s="3"/>
      <c r="P285" s="3"/>
      <c r="Q285" s="3"/>
      <c r="R285" s="3"/>
      <c r="S285" s="3"/>
      <c r="T285" s="3"/>
      <c r="U285" s="3"/>
      <c r="V285" s="3"/>
      <c r="W285" s="3"/>
      <c r="X285" s="3"/>
      <c r="Y285" s="3"/>
      <c r="Z285" s="3"/>
      <c r="AA285" s="437" t="s">
        <v>8</v>
      </c>
      <c r="AB285" s="446">
        <v>6.3257330821783003E-2</v>
      </c>
      <c r="AC285" s="446"/>
      <c r="AD285" s="446">
        <v>0.98048862773763656</v>
      </c>
      <c r="AE285" s="446"/>
      <c r="AF285" s="437"/>
      <c r="AG285" s="446">
        <v>0.63257330821782998</v>
      </c>
      <c r="AH285" s="446"/>
      <c r="AI285" s="446">
        <v>0.69583063903961306</v>
      </c>
      <c r="AJ285" s="446"/>
    </row>
    <row r="286" spans="2:36" ht="18.75" hidden="1" x14ac:dyDescent="0.3">
      <c r="B286" s="7" t="s">
        <v>9</v>
      </c>
      <c r="C286" s="6" t="str">
        <f>IF(SQRT((ABS(AB286-D286))^2)/AB286&gt;0.02,"F","R")</f>
        <v>F</v>
      </c>
      <c r="D286" s="6"/>
      <c r="E286" s="6" t="str">
        <f>IF(SQRT((ABS(AD286-F286))^2)/AD286&gt;0.02,"F","R")</f>
        <v>F</v>
      </c>
      <c r="F286" s="6"/>
      <c r="G286" s="6"/>
      <c r="H286" s="6" t="str">
        <f>IF(SQRT((ABS(AG286-I286))^2)/AG286&gt;0.02,"F","R")</f>
        <v>F</v>
      </c>
      <c r="I286" s="6"/>
      <c r="J286" s="6" t="str">
        <f>IF(SQRT((ABS(AI286-K286))^2)/AI286&gt;0.02,"F","R")</f>
        <v>F</v>
      </c>
      <c r="K286" s="6"/>
      <c r="L286" s="107"/>
      <c r="N286" s="3"/>
      <c r="O286" s="3"/>
      <c r="P286" s="3"/>
      <c r="Q286" s="3"/>
      <c r="R286" s="3"/>
      <c r="S286" s="3"/>
      <c r="T286" s="3"/>
      <c r="U286" s="3"/>
      <c r="V286" s="3"/>
      <c r="W286" s="3"/>
      <c r="X286" s="3"/>
      <c r="Y286" s="3"/>
      <c r="Z286" s="3"/>
      <c r="AA286" s="437" t="s">
        <v>9</v>
      </c>
      <c r="AB286" s="446">
        <v>2</v>
      </c>
      <c r="AC286" s="446"/>
      <c r="AD286" s="446">
        <v>31</v>
      </c>
      <c r="AE286" s="446"/>
      <c r="AF286" s="437"/>
      <c r="AG286" s="446">
        <v>20</v>
      </c>
      <c r="AH286" s="446"/>
      <c r="AI286" s="446">
        <v>22</v>
      </c>
      <c r="AJ286" s="446"/>
    </row>
    <row r="287" spans="2:36" hidden="1" x14ac:dyDescent="0.25">
      <c r="B287" s="106"/>
      <c r="C287" s="3"/>
      <c r="D287" s="3"/>
      <c r="E287" s="3"/>
      <c r="F287" s="3"/>
      <c r="G287" s="3"/>
      <c r="H287" s="3"/>
      <c r="I287" s="3"/>
      <c r="J287" s="3"/>
      <c r="K287" s="3"/>
      <c r="L287" s="107"/>
      <c r="N287" s="3"/>
      <c r="O287" s="3"/>
      <c r="P287" s="3"/>
      <c r="Q287" s="3"/>
      <c r="R287" s="3"/>
      <c r="S287" s="3"/>
      <c r="T287" s="3"/>
      <c r="U287" s="3"/>
      <c r="V287" s="3"/>
      <c r="W287" s="3"/>
      <c r="X287" s="3"/>
      <c r="Y287" s="3"/>
      <c r="Z287" s="3"/>
      <c r="AA287" s="437"/>
      <c r="AB287" s="437"/>
      <c r="AC287" s="437"/>
      <c r="AD287" s="437"/>
      <c r="AE287" s="437"/>
      <c r="AF287" s="437"/>
      <c r="AG287" s="437"/>
      <c r="AH287" s="437"/>
      <c r="AI287" s="437"/>
      <c r="AJ287" s="437"/>
    </row>
    <row r="288" spans="2:36" ht="18.75" hidden="1" x14ac:dyDescent="0.3">
      <c r="B288" s="6"/>
      <c r="C288" s="6"/>
      <c r="D288" s="7" t="str">
        <f>AC288</f>
        <v>C8H16</v>
      </c>
      <c r="E288" s="7"/>
      <c r="F288" s="7" t="s">
        <v>49</v>
      </c>
      <c r="G288" s="7" t="str">
        <f>AF288</f>
        <v>⟶</v>
      </c>
      <c r="H288" s="7"/>
      <c r="I288" s="7" t="s">
        <v>31</v>
      </c>
      <c r="J288" s="7"/>
      <c r="K288" s="7" t="s">
        <v>50</v>
      </c>
      <c r="L288" s="107"/>
      <c r="N288" s="3"/>
      <c r="O288" s="3"/>
      <c r="P288" s="3"/>
      <c r="Q288" s="3"/>
      <c r="R288" s="3"/>
      <c r="S288" s="3"/>
      <c r="T288" s="3"/>
      <c r="U288" s="3"/>
      <c r="V288" s="3"/>
      <c r="W288" s="3"/>
      <c r="X288" s="3"/>
      <c r="Y288" s="3"/>
      <c r="Z288" s="3"/>
      <c r="AA288" s="437"/>
      <c r="AB288" s="437">
        <v>1</v>
      </c>
      <c r="AC288" s="445" t="s">
        <v>11</v>
      </c>
      <c r="AD288" s="445">
        <v>12</v>
      </c>
      <c r="AE288" s="445" t="s">
        <v>3</v>
      </c>
      <c r="AF288" s="445" t="s">
        <v>48</v>
      </c>
      <c r="AG288" s="445">
        <v>8</v>
      </c>
      <c r="AH288" s="445" t="s">
        <v>4</v>
      </c>
      <c r="AI288" s="445">
        <v>8</v>
      </c>
      <c r="AJ288" s="445" t="s">
        <v>5</v>
      </c>
    </row>
    <row r="289" spans="2:36" ht="18.75" hidden="1" x14ac:dyDescent="0.3">
      <c r="B289" s="7" t="s">
        <v>6</v>
      </c>
      <c r="C289" s="6"/>
      <c r="D289" s="6">
        <f>AB289</f>
        <v>22</v>
      </c>
      <c r="E289" s="6" t="str">
        <f>IF(SQRT((ABS(AD289-F289))^2)/AD289&gt;0.02,"F","R")</f>
        <v>F</v>
      </c>
      <c r="F289" s="6"/>
      <c r="G289" s="6"/>
      <c r="H289" s="6" t="str">
        <f>IF(SQRT((ABS(AG289-I289))^2)/AG289&gt;0.02,"F","R")</f>
        <v>F</v>
      </c>
      <c r="I289" s="6"/>
      <c r="J289" s="6" t="str">
        <f>IF(SQRT((ABS(AI289-K289))^2)/AI289&gt;0.02,"F","R")</f>
        <v>F</v>
      </c>
      <c r="K289" s="6"/>
      <c r="L289" s="107"/>
      <c r="N289" s="3"/>
      <c r="O289" s="3"/>
      <c r="P289" s="3"/>
      <c r="Q289" s="3"/>
      <c r="R289" s="3"/>
      <c r="S289" s="3"/>
      <c r="T289" s="3"/>
      <c r="U289" s="3"/>
      <c r="V289" s="3"/>
      <c r="W289" s="3"/>
      <c r="X289" s="3"/>
      <c r="Y289" s="3"/>
      <c r="Z289" s="3"/>
      <c r="AA289" s="437" t="s">
        <v>6</v>
      </c>
      <c r="AB289" s="446">
        <v>22</v>
      </c>
      <c r="AC289" s="446"/>
      <c r="AD289" s="446">
        <v>75.288749465278769</v>
      </c>
      <c r="AE289" s="446"/>
      <c r="AF289" s="437"/>
      <c r="AG289" s="446">
        <v>69.030372165977468</v>
      </c>
      <c r="AH289" s="446"/>
      <c r="AI289" s="446">
        <v>28.258377299301294</v>
      </c>
      <c r="AJ289" s="446"/>
    </row>
    <row r="290" spans="2:36" ht="18.75" hidden="1" x14ac:dyDescent="0.3">
      <c r="B290" s="7" t="s">
        <v>7</v>
      </c>
      <c r="C290" s="6" t="str">
        <f>IF(SQRT((ABS(AB290-D290))^2)/AB290&gt;0.02,"F","R")</f>
        <v>F</v>
      </c>
      <c r="D290" s="6"/>
      <c r="E290" s="6" t="str">
        <f>IF(SQRT((ABS(AD290-F290))^2)/AD290&gt;0.02,"F","R")</f>
        <v>F</v>
      </c>
      <c r="F290" s="6"/>
      <c r="G290" s="6"/>
      <c r="H290" s="6" t="str">
        <f>IF(SQRT((ABS(AG290-I290))^2)/AG290&gt;0.02,"F","R")</f>
        <v>F</v>
      </c>
      <c r="I290" s="6"/>
      <c r="J290" s="6" t="str">
        <f>IF(SQRT((ABS(AI290-K290))^2)/AI290&gt;0.02,"F","R")</f>
        <v>F</v>
      </c>
      <c r="K290" s="6"/>
      <c r="L290" s="107"/>
      <c r="N290" s="3"/>
      <c r="O290" s="3"/>
      <c r="P290" s="3"/>
      <c r="Q290" s="3"/>
      <c r="R290" s="3"/>
      <c r="S290" s="3"/>
      <c r="T290" s="3"/>
      <c r="U290" s="3"/>
      <c r="V290" s="3"/>
      <c r="W290" s="3"/>
      <c r="X290" s="3"/>
      <c r="Y290" s="3"/>
      <c r="Z290" s="3"/>
      <c r="AA290" s="437" t="s">
        <v>7</v>
      </c>
      <c r="AB290" s="446">
        <v>112.208</v>
      </c>
      <c r="AC290" s="446"/>
      <c r="AD290" s="446">
        <v>32</v>
      </c>
      <c r="AE290" s="446"/>
      <c r="AF290" s="437"/>
      <c r="AG290" s="446">
        <v>44.01</v>
      </c>
      <c r="AH290" s="446"/>
      <c r="AI290" s="446">
        <v>18.015999999999998</v>
      </c>
      <c r="AJ290" s="446"/>
    </row>
    <row r="291" spans="2:36" ht="18.75" hidden="1" x14ac:dyDescent="0.3">
      <c r="B291" s="7" t="s">
        <v>8</v>
      </c>
      <c r="C291" s="6" t="str">
        <f>IF(SQRT((ABS(AB291-D291))^2)/AB291&gt;0.02,"F","R")</f>
        <v>F</v>
      </c>
      <c r="D291" s="6"/>
      <c r="E291" s="6" t="str">
        <f>IF(SQRT((ABS(AD291-F291))^2)/AD291&gt;0.02,"F","R")</f>
        <v>F</v>
      </c>
      <c r="F291" s="6"/>
      <c r="G291" s="6"/>
      <c r="H291" s="6" t="str">
        <f>IF(SQRT((ABS(AG291-I291))^2)/AG291&gt;0.02,"F","R")</f>
        <v>F</v>
      </c>
      <c r="I291" s="6"/>
      <c r="J291" s="6" t="str">
        <f>IF(SQRT((ABS(AI291-K291))^2)/AI291&gt;0.02,"F","R")</f>
        <v>F</v>
      </c>
      <c r="K291" s="6"/>
      <c r="L291" s="107"/>
      <c r="N291" s="3"/>
      <c r="O291" s="3"/>
      <c r="P291" s="3"/>
      <c r="Q291" s="3"/>
      <c r="R291" s="3"/>
      <c r="S291" s="3"/>
      <c r="T291" s="3"/>
      <c r="U291" s="3"/>
      <c r="V291" s="3"/>
      <c r="W291" s="3"/>
      <c r="X291" s="3"/>
      <c r="Y291" s="3"/>
      <c r="Z291" s="3"/>
      <c r="AA291" s="437" t="s">
        <v>8</v>
      </c>
      <c r="AB291" s="446">
        <v>0.19606445173249679</v>
      </c>
      <c r="AC291" s="446"/>
      <c r="AD291" s="446">
        <v>2.3527734207899615</v>
      </c>
      <c r="AE291" s="446"/>
      <c r="AF291" s="437"/>
      <c r="AG291" s="446">
        <v>1.5685156138599743</v>
      </c>
      <c r="AH291" s="446"/>
      <c r="AI291" s="446">
        <v>1.5685156138599743</v>
      </c>
      <c r="AJ291" s="446"/>
    </row>
    <row r="292" spans="2:36" ht="18.75" hidden="1" x14ac:dyDescent="0.3">
      <c r="B292" s="7" t="s">
        <v>9</v>
      </c>
      <c r="C292" s="6" t="str">
        <f>IF(SQRT((ABS(AB292-D292))^2)/AB292&gt;0.02,"F","R")</f>
        <v>F</v>
      </c>
      <c r="D292" s="6"/>
      <c r="E292" s="6" t="str">
        <f>IF(SQRT((ABS(AD292-F292))^2)/AD292&gt;0.02,"F","R")</f>
        <v>F</v>
      </c>
      <c r="F292" s="6"/>
      <c r="G292" s="6"/>
      <c r="H292" s="6" t="str">
        <f>IF(SQRT((ABS(AG292-I292))^2)/AG292&gt;0.02,"F","R")</f>
        <v>F</v>
      </c>
      <c r="I292" s="6"/>
      <c r="J292" s="6" t="str">
        <f>IF(SQRT((ABS(AI292-K292))^2)/AI292&gt;0.02,"F","R")</f>
        <v>F</v>
      </c>
      <c r="K292" s="6"/>
      <c r="L292" s="107"/>
      <c r="N292" s="3"/>
      <c r="O292" s="3"/>
      <c r="P292" s="3"/>
      <c r="Q292" s="3"/>
      <c r="R292" s="3"/>
      <c r="S292" s="3"/>
      <c r="T292" s="3"/>
      <c r="U292" s="3"/>
      <c r="V292" s="3"/>
      <c r="W292" s="3"/>
      <c r="X292" s="3"/>
      <c r="Y292" s="3"/>
      <c r="Z292" s="3"/>
      <c r="AA292" s="437" t="s">
        <v>9</v>
      </c>
      <c r="AB292" s="446">
        <v>1</v>
      </c>
      <c r="AC292" s="446"/>
      <c r="AD292" s="446">
        <v>12</v>
      </c>
      <c r="AE292" s="446"/>
      <c r="AF292" s="437"/>
      <c r="AG292" s="446">
        <v>8</v>
      </c>
      <c r="AH292" s="446"/>
      <c r="AI292" s="446">
        <v>8</v>
      </c>
      <c r="AJ292" s="446"/>
    </row>
    <row r="293" spans="2:36" hidden="1" x14ac:dyDescent="0.25">
      <c r="B293" s="106"/>
      <c r="C293" s="3"/>
      <c r="D293" s="3"/>
      <c r="E293" s="3"/>
      <c r="F293" s="3"/>
      <c r="G293" s="3"/>
      <c r="H293" s="3"/>
      <c r="I293" s="3"/>
      <c r="J293" s="3"/>
      <c r="K293" s="3"/>
      <c r="L293" s="107"/>
      <c r="N293" s="3"/>
      <c r="O293" s="3"/>
      <c r="P293" s="3"/>
      <c r="Q293" s="3"/>
      <c r="R293" s="3"/>
      <c r="S293" s="3"/>
      <c r="T293" s="3"/>
      <c r="U293" s="3"/>
      <c r="V293" s="3"/>
      <c r="W293" s="3"/>
      <c r="X293" s="3"/>
      <c r="Y293" s="3"/>
      <c r="Z293" s="3"/>
      <c r="AA293" s="437"/>
      <c r="AB293" s="437"/>
      <c r="AC293" s="437"/>
      <c r="AD293" s="437"/>
      <c r="AE293" s="437"/>
      <c r="AF293" s="437"/>
      <c r="AG293" s="437"/>
      <c r="AH293" s="437"/>
      <c r="AI293" s="437"/>
      <c r="AJ293" s="437"/>
    </row>
    <row r="294" spans="2:36" ht="18.75" hidden="1" x14ac:dyDescent="0.3">
      <c r="B294" s="6"/>
      <c r="C294" s="6"/>
      <c r="D294" s="7" t="str">
        <f>AC294</f>
        <v>C6H14</v>
      </c>
      <c r="E294" s="7"/>
      <c r="F294" s="7" t="s">
        <v>49</v>
      </c>
      <c r="G294" s="7" t="str">
        <f>AF294</f>
        <v>⟶</v>
      </c>
      <c r="H294" s="7"/>
      <c r="I294" s="7" t="s">
        <v>31</v>
      </c>
      <c r="J294" s="7"/>
      <c r="K294" s="7" t="s">
        <v>50</v>
      </c>
      <c r="L294" s="107"/>
      <c r="N294" s="3"/>
      <c r="O294" s="3"/>
      <c r="P294" s="3"/>
      <c r="Q294" s="3"/>
      <c r="R294" s="3"/>
      <c r="S294" s="3"/>
      <c r="T294" s="3"/>
      <c r="U294" s="3"/>
      <c r="V294" s="3"/>
      <c r="W294" s="3"/>
      <c r="X294" s="3"/>
      <c r="Y294" s="3"/>
      <c r="Z294" s="3"/>
      <c r="AA294" s="437"/>
      <c r="AB294" s="437">
        <v>2</v>
      </c>
      <c r="AC294" s="445" t="s">
        <v>21</v>
      </c>
      <c r="AD294" s="445">
        <v>19</v>
      </c>
      <c r="AE294" s="445" t="s">
        <v>3</v>
      </c>
      <c r="AF294" s="445" t="s">
        <v>48</v>
      </c>
      <c r="AG294" s="445">
        <v>12</v>
      </c>
      <c r="AH294" s="445" t="s">
        <v>4</v>
      </c>
      <c r="AI294" s="445">
        <v>14</v>
      </c>
      <c r="AJ294" s="445" t="s">
        <v>5</v>
      </c>
    </row>
    <row r="295" spans="2:36" ht="18.75" hidden="1" x14ac:dyDescent="0.3">
      <c r="B295" s="7" t="s">
        <v>6</v>
      </c>
      <c r="C295" s="6"/>
      <c r="D295" s="6">
        <f>AB295</f>
        <v>49</v>
      </c>
      <c r="E295" s="6" t="str">
        <f>IF(SQRT((ABS(AD295-F295))^2)/AD295&gt;0.02,"F","R")</f>
        <v>F</v>
      </c>
      <c r="F295" s="6"/>
      <c r="G295" s="6"/>
      <c r="H295" s="6" t="str">
        <f>IF(SQRT((ABS(AG295-I295))^2)/AG295&gt;0.02,"F","R")</f>
        <v>F</v>
      </c>
      <c r="I295" s="6"/>
      <c r="J295" s="6" t="str">
        <f>IF(SQRT((ABS(AI295-K295))^2)/AI295&gt;0.02,"F","R")</f>
        <v>F</v>
      </c>
      <c r="K295" s="6"/>
      <c r="L295" s="107"/>
      <c r="N295" s="3"/>
      <c r="O295" s="3"/>
      <c r="P295" s="3"/>
      <c r="Q295" s="3"/>
      <c r="R295" s="3"/>
      <c r="S295" s="3"/>
      <c r="T295" s="3"/>
      <c r="U295" s="3"/>
      <c r="V295" s="3"/>
      <c r="W295" s="3"/>
      <c r="X295" s="3"/>
      <c r="Y295" s="3"/>
      <c r="Z295" s="3"/>
      <c r="AA295" s="437" t="s">
        <v>6</v>
      </c>
      <c r="AB295" s="446">
        <v>49</v>
      </c>
      <c r="AC295" s="446"/>
      <c r="AD295" s="446">
        <v>172.86357517523095</v>
      </c>
      <c r="AE295" s="446"/>
      <c r="AF295" s="437"/>
      <c r="AG295" s="446">
        <v>150.15248572622198</v>
      </c>
      <c r="AH295" s="446"/>
      <c r="AI295" s="446">
        <v>71.711089449008966</v>
      </c>
      <c r="AJ295" s="446"/>
    </row>
    <row r="296" spans="2:36" ht="18.75" hidden="1" x14ac:dyDescent="0.3">
      <c r="B296" s="7" t="s">
        <v>7</v>
      </c>
      <c r="C296" s="6" t="str">
        <f>IF(SQRT((ABS(AB296-D296))^2)/AB296&gt;0.02,"F","R")</f>
        <v>F</v>
      </c>
      <c r="D296" s="6"/>
      <c r="E296" s="6" t="str">
        <f>IF(SQRT((ABS(AD296-F296))^2)/AD296&gt;0.02,"F","R")</f>
        <v>F</v>
      </c>
      <c r="F296" s="6"/>
      <c r="G296" s="6"/>
      <c r="H296" s="6" t="str">
        <f>IF(SQRT((ABS(AG296-I296))^2)/AG296&gt;0.02,"F","R")</f>
        <v>F</v>
      </c>
      <c r="I296" s="6"/>
      <c r="J296" s="6" t="str">
        <f>IF(SQRT((ABS(AI296-K296))^2)/AI296&gt;0.02,"F","R")</f>
        <v>F</v>
      </c>
      <c r="K296" s="6"/>
      <c r="L296" s="107"/>
      <c r="N296" s="3"/>
      <c r="O296" s="3"/>
      <c r="P296" s="3"/>
      <c r="Q296" s="3"/>
      <c r="R296" s="3"/>
      <c r="S296" s="3"/>
      <c r="T296" s="3"/>
      <c r="U296" s="3"/>
      <c r="V296" s="3"/>
      <c r="W296" s="3"/>
      <c r="X296" s="3"/>
      <c r="Y296" s="3"/>
      <c r="Z296" s="3"/>
      <c r="AA296" s="437" t="s">
        <v>7</v>
      </c>
      <c r="AB296" s="446">
        <v>86.171999999999997</v>
      </c>
      <c r="AC296" s="446"/>
      <c r="AD296" s="446">
        <v>32</v>
      </c>
      <c r="AE296" s="446"/>
      <c r="AF296" s="437"/>
      <c r="AG296" s="446">
        <v>44.01</v>
      </c>
      <c r="AH296" s="446"/>
      <c r="AI296" s="446">
        <v>18.015999999999998</v>
      </c>
      <c r="AJ296" s="446"/>
    </row>
    <row r="297" spans="2:36" ht="18.75" hidden="1" x14ac:dyDescent="0.3">
      <c r="B297" s="7" t="s">
        <v>8</v>
      </c>
      <c r="C297" s="6" t="str">
        <f>IF(SQRT((ABS(AB297-D297))^2)/AB297&gt;0.02,"F","R")</f>
        <v>F</v>
      </c>
      <c r="D297" s="6"/>
      <c r="E297" s="6" t="str">
        <f>IF(SQRT((ABS(AD297-F297))^2)/AD297&gt;0.02,"F","R")</f>
        <v>F</v>
      </c>
      <c r="F297" s="6"/>
      <c r="G297" s="6"/>
      <c r="H297" s="6" t="str">
        <f>IF(SQRT((ABS(AG297-I297))^2)/AG297&gt;0.02,"F","R")</f>
        <v>F</v>
      </c>
      <c r="I297" s="6"/>
      <c r="J297" s="6" t="str">
        <f>IF(SQRT((ABS(AI297-K297))^2)/AI297&gt;0.02,"F","R")</f>
        <v>F</v>
      </c>
      <c r="K297" s="6"/>
      <c r="L297" s="107"/>
      <c r="N297" s="3"/>
      <c r="O297" s="3"/>
      <c r="P297" s="3"/>
      <c r="Q297" s="3"/>
      <c r="R297" s="3"/>
      <c r="S297" s="3"/>
      <c r="T297" s="3"/>
      <c r="U297" s="3"/>
      <c r="V297" s="3"/>
      <c r="W297" s="3"/>
      <c r="X297" s="3"/>
      <c r="Y297" s="3"/>
      <c r="Z297" s="3"/>
      <c r="AA297" s="437" t="s">
        <v>8</v>
      </c>
      <c r="AB297" s="446">
        <v>0.56863018149747024</v>
      </c>
      <c r="AC297" s="446"/>
      <c r="AD297" s="446">
        <v>5.4019867242259672</v>
      </c>
      <c r="AE297" s="446"/>
      <c r="AF297" s="437"/>
      <c r="AG297" s="446">
        <v>3.4117810889848217</v>
      </c>
      <c r="AH297" s="446"/>
      <c r="AI297" s="446">
        <v>3.9804112704822918</v>
      </c>
      <c r="AJ297" s="446"/>
    </row>
    <row r="298" spans="2:36" ht="18.75" hidden="1" x14ac:dyDescent="0.3">
      <c r="B298" s="7" t="s">
        <v>9</v>
      </c>
      <c r="C298" s="6" t="str">
        <f>IF(SQRT((ABS(AB298-D298))^2)/AB298&gt;0.02,"F","R")</f>
        <v>F</v>
      </c>
      <c r="D298" s="6"/>
      <c r="E298" s="6" t="str">
        <f>IF(SQRT((ABS(AD298-F298))^2)/AD298&gt;0.02,"F","R")</f>
        <v>F</v>
      </c>
      <c r="F298" s="6"/>
      <c r="G298" s="6"/>
      <c r="H298" s="6" t="str">
        <f>IF(SQRT((ABS(AG298-I298))^2)/AG298&gt;0.02,"F","R")</f>
        <v>F</v>
      </c>
      <c r="I298" s="6"/>
      <c r="J298" s="6" t="str">
        <f>IF(SQRT((ABS(AI298-K298))^2)/AI298&gt;0.02,"F","R")</f>
        <v>F</v>
      </c>
      <c r="K298" s="6"/>
      <c r="L298" s="107"/>
      <c r="N298" s="3"/>
      <c r="O298" s="3"/>
      <c r="P298" s="3"/>
      <c r="Q298" s="3"/>
      <c r="R298" s="3"/>
      <c r="S298" s="3"/>
      <c r="T298" s="3"/>
      <c r="U298" s="3"/>
      <c r="V298" s="3"/>
      <c r="W298" s="3"/>
      <c r="X298" s="3"/>
      <c r="Y298" s="3"/>
      <c r="Z298" s="3"/>
      <c r="AA298" s="437" t="s">
        <v>9</v>
      </c>
      <c r="AB298" s="446">
        <v>2</v>
      </c>
      <c r="AC298" s="446"/>
      <c r="AD298" s="446">
        <v>19</v>
      </c>
      <c r="AE298" s="446"/>
      <c r="AF298" s="437"/>
      <c r="AG298" s="446">
        <v>12</v>
      </c>
      <c r="AH298" s="446"/>
      <c r="AI298" s="446">
        <v>14</v>
      </c>
      <c r="AJ298" s="446"/>
    </row>
    <row r="299" spans="2:36" hidden="1" x14ac:dyDescent="0.25">
      <c r="B299" s="106"/>
      <c r="C299" s="3"/>
      <c r="D299" s="3"/>
      <c r="E299" s="3"/>
      <c r="F299" s="3"/>
      <c r="G299" s="3"/>
      <c r="H299" s="3"/>
      <c r="I299" s="3"/>
      <c r="J299" s="3"/>
      <c r="K299" s="3"/>
      <c r="L299" s="107"/>
      <c r="N299" s="3"/>
      <c r="O299" s="3"/>
      <c r="P299" s="3"/>
      <c r="Q299" s="3"/>
      <c r="R299" s="3"/>
      <c r="S299" s="3"/>
      <c r="T299" s="3"/>
      <c r="U299" s="3"/>
      <c r="V299" s="3"/>
      <c r="W299" s="3"/>
      <c r="X299" s="3"/>
      <c r="Y299" s="3"/>
      <c r="Z299" s="3"/>
      <c r="AA299" s="437"/>
      <c r="AB299" s="437"/>
      <c r="AC299" s="437"/>
      <c r="AD299" s="437"/>
      <c r="AE299" s="437"/>
      <c r="AF299" s="437"/>
      <c r="AG299" s="437"/>
      <c r="AH299" s="437"/>
      <c r="AI299" s="437"/>
      <c r="AJ299" s="437"/>
    </row>
    <row r="300" spans="2:36" ht="18.75" hidden="1" x14ac:dyDescent="0.3">
      <c r="B300" s="6"/>
      <c r="C300" s="6"/>
      <c r="D300" s="7" t="str">
        <f>AC300</f>
        <v>C4H9OH</v>
      </c>
      <c r="E300" s="7"/>
      <c r="F300" s="7" t="s">
        <v>49</v>
      </c>
      <c r="G300" s="7" t="str">
        <f>AF300</f>
        <v>⟶</v>
      </c>
      <c r="H300" s="7"/>
      <c r="I300" s="7" t="s">
        <v>31</v>
      </c>
      <c r="J300" s="7"/>
      <c r="K300" s="7" t="s">
        <v>50</v>
      </c>
      <c r="L300" s="107"/>
      <c r="N300" s="3"/>
      <c r="O300" s="3"/>
      <c r="P300" s="3"/>
      <c r="Q300" s="3"/>
      <c r="R300" s="3"/>
      <c r="S300" s="3"/>
      <c r="T300" s="3"/>
      <c r="U300" s="3"/>
      <c r="V300" s="3"/>
      <c r="W300" s="3"/>
      <c r="X300" s="3"/>
      <c r="Y300" s="3"/>
      <c r="Z300" s="3"/>
      <c r="AA300" s="437"/>
      <c r="AB300" s="437">
        <v>1</v>
      </c>
      <c r="AC300" s="445" t="s">
        <v>29</v>
      </c>
      <c r="AD300" s="445">
        <v>6</v>
      </c>
      <c r="AE300" s="445" t="s">
        <v>3</v>
      </c>
      <c r="AF300" s="445" t="s">
        <v>48</v>
      </c>
      <c r="AG300" s="445">
        <v>4</v>
      </c>
      <c r="AH300" s="445" t="s">
        <v>4</v>
      </c>
      <c r="AI300" s="445">
        <v>5</v>
      </c>
      <c r="AJ300" s="445" t="s">
        <v>5</v>
      </c>
    </row>
    <row r="301" spans="2:36" ht="18.75" hidden="1" x14ac:dyDescent="0.3">
      <c r="B301" s="7" t="s">
        <v>6</v>
      </c>
      <c r="C301" s="6"/>
      <c r="D301" s="6">
        <f>AB301</f>
        <v>49</v>
      </c>
      <c r="E301" s="6" t="str">
        <f>IF(SQRT((ABS(AD301-F301))^2)/AD301&gt;0.02,"F","R")</f>
        <v>F</v>
      </c>
      <c r="F301" s="6"/>
      <c r="G301" s="6"/>
      <c r="H301" s="6" t="str">
        <f>IF(SQRT((ABS(AG301-I301))^2)/AG301&gt;0.02,"F","R")</f>
        <v>F</v>
      </c>
      <c r="I301" s="6"/>
      <c r="J301" s="6" t="str">
        <f>IF(SQRT((ABS(AI301-K301))^2)/AI301&gt;0.02,"F","R")</f>
        <v>F</v>
      </c>
      <c r="K301" s="6"/>
      <c r="L301" s="107"/>
      <c r="N301" s="3"/>
      <c r="O301" s="3"/>
      <c r="P301" s="3"/>
      <c r="Q301" s="3"/>
      <c r="R301" s="3"/>
      <c r="S301" s="3"/>
      <c r="T301" s="3"/>
      <c r="U301" s="3"/>
      <c r="V301" s="3"/>
      <c r="W301" s="3"/>
      <c r="X301" s="3"/>
      <c r="Y301" s="3"/>
      <c r="Z301" s="3"/>
      <c r="AA301" s="437" t="s">
        <v>6</v>
      </c>
      <c r="AB301" s="446">
        <v>49</v>
      </c>
      <c r="AC301" s="446"/>
      <c r="AD301" s="446">
        <v>126.9293038316244</v>
      </c>
      <c r="AE301" s="446"/>
      <c r="AF301" s="437"/>
      <c r="AG301" s="446">
        <v>116.3783054506206</v>
      </c>
      <c r="AH301" s="446"/>
      <c r="AI301" s="446">
        <v>59.550998381003765</v>
      </c>
      <c r="AJ301" s="446"/>
    </row>
    <row r="302" spans="2:36" ht="18.75" hidden="1" x14ac:dyDescent="0.3">
      <c r="B302" s="7" t="s">
        <v>7</v>
      </c>
      <c r="C302" s="6" t="str">
        <f>IF(SQRT((ABS(AB302-D302))^2)/AB302&gt;0.02,"F","R")</f>
        <v>F</v>
      </c>
      <c r="D302" s="6"/>
      <c r="E302" s="6" t="str">
        <f>IF(SQRT((ABS(AD302-F302))^2)/AD302&gt;0.02,"F","R")</f>
        <v>F</v>
      </c>
      <c r="F302" s="6"/>
      <c r="G302" s="6"/>
      <c r="H302" s="6" t="str">
        <f>IF(SQRT((ABS(AG302-I302))^2)/AG302&gt;0.02,"F","R")</f>
        <v>F</v>
      </c>
      <c r="I302" s="6"/>
      <c r="J302" s="6" t="str">
        <f>IF(SQRT((ABS(AI302-K302))^2)/AI302&gt;0.02,"F","R")</f>
        <v>F</v>
      </c>
      <c r="K302" s="6"/>
      <c r="L302" s="107"/>
      <c r="N302" s="3"/>
      <c r="O302" s="3"/>
      <c r="P302" s="3"/>
      <c r="Q302" s="3"/>
      <c r="R302" s="3"/>
      <c r="S302" s="3"/>
      <c r="T302" s="3"/>
      <c r="U302" s="3"/>
      <c r="V302" s="3"/>
      <c r="W302" s="3"/>
      <c r="X302" s="3"/>
      <c r="Y302" s="3"/>
      <c r="Z302" s="3"/>
      <c r="AA302" s="437" t="s">
        <v>7</v>
      </c>
      <c r="AB302" s="446">
        <v>74.12</v>
      </c>
      <c r="AC302" s="446"/>
      <c r="AD302" s="446">
        <v>32</v>
      </c>
      <c r="AE302" s="446"/>
      <c r="AF302" s="437"/>
      <c r="AG302" s="446">
        <v>44.01</v>
      </c>
      <c r="AH302" s="446"/>
      <c r="AI302" s="446">
        <v>18.015999999999998</v>
      </c>
      <c r="AJ302" s="446"/>
    </row>
    <row r="303" spans="2:36" ht="18.75" hidden="1" x14ac:dyDescent="0.3">
      <c r="B303" s="7" t="s">
        <v>8</v>
      </c>
      <c r="C303" s="6" t="str">
        <f>IF(SQRT((ABS(AB303-D303))^2)/AB303&gt;0.02,"F","R")</f>
        <v>F</v>
      </c>
      <c r="D303" s="6"/>
      <c r="E303" s="6" t="str">
        <f>IF(SQRT((ABS(AD303-F303))^2)/AD303&gt;0.02,"F","R")</f>
        <v>F</v>
      </c>
      <c r="F303" s="6"/>
      <c r="G303" s="6"/>
      <c r="H303" s="6" t="str">
        <f>IF(SQRT((ABS(AG303-I303))^2)/AG303&gt;0.02,"F","R")</f>
        <v>F</v>
      </c>
      <c r="I303" s="6"/>
      <c r="J303" s="6" t="str">
        <f>IF(SQRT((ABS(AI303-K303))^2)/AI303&gt;0.02,"F","R")</f>
        <v>F</v>
      </c>
      <c r="K303" s="6"/>
      <c r="L303" s="107"/>
      <c r="N303" s="3"/>
      <c r="O303" s="3"/>
      <c r="P303" s="3"/>
      <c r="Q303" s="3"/>
      <c r="R303" s="3"/>
      <c r="S303" s="3"/>
      <c r="T303" s="3"/>
      <c r="U303" s="3"/>
      <c r="V303" s="3"/>
      <c r="W303" s="3"/>
      <c r="X303" s="3"/>
      <c r="Y303" s="3"/>
      <c r="Z303" s="3"/>
      <c r="AA303" s="437" t="s">
        <v>8</v>
      </c>
      <c r="AB303" s="446">
        <v>0.66109012412304369</v>
      </c>
      <c r="AC303" s="446"/>
      <c r="AD303" s="446">
        <v>3.9665407447382623</v>
      </c>
      <c r="AE303" s="446"/>
      <c r="AF303" s="437"/>
      <c r="AG303" s="446">
        <v>2.6443604964921748</v>
      </c>
      <c r="AH303" s="446"/>
      <c r="AI303" s="446">
        <v>3.3054506206152183</v>
      </c>
      <c r="AJ303" s="446"/>
    </row>
    <row r="304" spans="2:36" ht="18.75" hidden="1" x14ac:dyDescent="0.3">
      <c r="B304" s="7" t="s">
        <v>9</v>
      </c>
      <c r="C304" s="6" t="str">
        <f>IF(SQRT((ABS(AB304-D304))^2)/AB304&gt;0.02,"F","R")</f>
        <v>F</v>
      </c>
      <c r="D304" s="6"/>
      <c r="E304" s="6" t="str">
        <f>IF(SQRT((ABS(AD304-F304))^2)/AD304&gt;0.02,"F","R")</f>
        <v>F</v>
      </c>
      <c r="F304" s="6"/>
      <c r="G304" s="6"/>
      <c r="H304" s="6" t="str">
        <f>IF(SQRT((ABS(AG304-I304))^2)/AG304&gt;0.02,"F","R")</f>
        <v>F</v>
      </c>
      <c r="I304" s="6"/>
      <c r="J304" s="6" t="str">
        <f>IF(SQRT((ABS(AI304-K304))^2)/AI304&gt;0.02,"F","R")</f>
        <v>F</v>
      </c>
      <c r="K304" s="6"/>
      <c r="L304" s="107"/>
      <c r="N304" s="3"/>
      <c r="O304" s="3"/>
      <c r="P304" s="3"/>
      <c r="Q304" s="3"/>
      <c r="R304" s="3"/>
      <c r="S304" s="3"/>
      <c r="T304" s="3"/>
      <c r="U304" s="3"/>
      <c r="V304" s="3"/>
      <c r="W304" s="3"/>
      <c r="X304" s="3"/>
      <c r="Y304" s="3"/>
      <c r="Z304" s="3"/>
      <c r="AA304" s="437" t="s">
        <v>9</v>
      </c>
      <c r="AB304" s="446">
        <v>1</v>
      </c>
      <c r="AC304" s="446"/>
      <c r="AD304" s="446">
        <v>6</v>
      </c>
      <c r="AE304" s="446"/>
      <c r="AF304" s="437"/>
      <c r="AG304" s="446">
        <v>4</v>
      </c>
      <c r="AH304" s="446"/>
      <c r="AI304" s="446">
        <v>5</v>
      </c>
      <c r="AJ304" s="446"/>
    </row>
    <row r="305" spans="2:36" x14ac:dyDescent="0.25">
      <c r="AA305" s="437"/>
      <c r="AB305" s="437"/>
      <c r="AC305" s="437"/>
      <c r="AD305" s="437"/>
      <c r="AE305" s="437"/>
      <c r="AF305" s="437"/>
      <c r="AG305" s="437"/>
      <c r="AH305" s="437"/>
      <c r="AI305" s="437"/>
      <c r="AJ305" s="437"/>
    </row>
    <row r="306" spans="2:36" ht="18.75" hidden="1" x14ac:dyDescent="0.3">
      <c r="B306" s="6"/>
      <c r="C306" s="6"/>
      <c r="D306" s="7" t="str">
        <f>AC306</f>
        <v>C6H12</v>
      </c>
      <c r="E306" s="7"/>
      <c r="F306" s="7" t="s">
        <v>49</v>
      </c>
      <c r="G306" s="7" t="str">
        <f>AF306</f>
        <v>⟶</v>
      </c>
      <c r="H306" s="7"/>
      <c r="I306" s="7" t="s">
        <v>31</v>
      </c>
      <c r="J306" s="7"/>
      <c r="K306" s="7" t="s">
        <v>50</v>
      </c>
      <c r="L306" s="107"/>
      <c r="N306" s="3"/>
      <c r="O306" s="3"/>
      <c r="P306" s="3"/>
      <c r="Q306" s="3"/>
      <c r="R306" s="3"/>
      <c r="S306" s="3"/>
      <c r="T306" s="3"/>
      <c r="U306" s="3"/>
      <c r="V306" s="3"/>
      <c r="W306" s="3"/>
      <c r="X306" s="3"/>
      <c r="Y306" s="3"/>
      <c r="Z306" s="3"/>
      <c r="AA306" s="437"/>
      <c r="AB306" s="437">
        <v>1</v>
      </c>
      <c r="AC306" s="445" t="s">
        <v>26</v>
      </c>
      <c r="AD306" s="445">
        <v>9</v>
      </c>
      <c r="AE306" s="445" t="s">
        <v>3</v>
      </c>
      <c r="AF306" s="445" t="s">
        <v>48</v>
      </c>
      <c r="AG306" s="445">
        <v>6</v>
      </c>
      <c r="AH306" s="445" t="s">
        <v>4</v>
      </c>
      <c r="AI306" s="445">
        <v>6</v>
      </c>
      <c r="AJ306" s="445" t="s">
        <v>5</v>
      </c>
    </row>
    <row r="307" spans="2:36" ht="18.75" hidden="1" x14ac:dyDescent="0.3">
      <c r="B307" s="7" t="s">
        <v>6</v>
      </c>
      <c r="C307" s="6"/>
      <c r="D307" s="6">
        <f>AB307</f>
        <v>87</v>
      </c>
      <c r="E307" s="6" t="str">
        <f>IF(SQRT((ABS(AD307-F307))^2)/AD307&gt;0.02,"F","R")</f>
        <v>F</v>
      </c>
      <c r="F307" s="6"/>
      <c r="G307" s="6"/>
      <c r="H307" s="6" t="str">
        <f>IF(SQRT((ABS(AG307-I307))^2)/AG307&gt;0.02,"F","R")</f>
        <v>F</v>
      </c>
      <c r="I307" s="6"/>
      <c r="J307" s="6" t="str">
        <f>IF(SQRT((ABS(AI307-K307))^2)/AI307&gt;0.02,"F","R")</f>
        <v>F</v>
      </c>
      <c r="K307" s="6"/>
      <c r="L307" s="107"/>
      <c r="N307" s="3"/>
      <c r="O307" s="3"/>
      <c r="P307" s="3"/>
      <c r="Q307" s="3"/>
      <c r="R307" s="3"/>
      <c r="S307" s="3"/>
      <c r="T307" s="3"/>
      <c r="U307" s="3"/>
      <c r="V307" s="3"/>
      <c r="W307" s="3"/>
      <c r="X307" s="3"/>
      <c r="Y307" s="3"/>
      <c r="Z307" s="3"/>
      <c r="AA307" s="437" t="s">
        <v>6</v>
      </c>
      <c r="AB307" s="446">
        <v>87</v>
      </c>
      <c r="AC307" s="446"/>
      <c r="AD307" s="446">
        <v>297.73278197632965</v>
      </c>
      <c r="AE307" s="446"/>
      <c r="AF307" s="437"/>
      <c r="AG307" s="446">
        <v>272.98374447454722</v>
      </c>
      <c r="AH307" s="446"/>
      <c r="AI307" s="446">
        <v>111.74903750178237</v>
      </c>
      <c r="AJ307" s="446"/>
    </row>
    <row r="308" spans="2:36" ht="18.75" hidden="1" x14ac:dyDescent="0.3">
      <c r="B308" s="7" t="s">
        <v>7</v>
      </c>
      <c r="C308" s="6" t="str">
        <f>IF(SQRT((ABS(AB308-D308))^2)/AB308&gt;0.02,"F","R")</f>
        <v>F</v>
      </c>
      <c r="D308" s="6"/>
      <c r="E308" s="6" t="str">
        <f>IF(SQRT((ABS(AD308-F308))^2)/AD308&gt;0.02,"F","R")</f>
        <v>F</v>
      </c>
      <c r="F308" s="6"/>
      <c r="G308" s="6"/>
      <c r="H308" s="6" t="str">
        <f>IF(SQRT((ABS(AG308-I308))^2)/AG308&gt;0.02,"F","R")</f>
        <v>F</v>
      </c>
      <c r="I308" s="6"/>
      <c r="J308" s="6" t="str">
        <f>IF(SQRT((ABS(AI308-K308))^2)/AI308&gt;0.02,"F","R")</f>
        <v>F</v>
      </c>
      <c r="K308" s="6"/>
      <c r="L308" s="107"/>
      <c r="N308" s="3"/>
      <c r="O308" s="3"/>
      <c r="P308" s="3"/>
      <c r="Q308" s="3"/>
      <c r="R308" s="3"/>
      <c r="S308" s="3"/>
      <c r="T308" s="3"/>
      <c r="U308" s="3"/>
      <c r="V308" s="3"/>
      <c r="W308" s="3"/>
      <c r="X308" s="3"/>
      <c r="Y308" s="3"/>
      <c r="Z308" s="3"/>
      <c r="AA308" s="437" t="s">
        <v>7</v>
      </c>
      <c r="AB308" s="446">
        <v>84.156000000000006</v>
      </c>
      <c r="AC308" s="446"/>
      <c r="AD308" s="446">
        <v>32</v>
      </c>
      <c r="AE308" s="446"/>
      <c r="AF308" s="437"/>
      <c r="AG308" s="446">
        <v>44.01</v>
      </c>
      <c r="AH308" s="446"/>
      <c r="AI308" s="446">
        <v>18.015999999999998</v>
      </c>
      <c r="AJ308" s="446"/>
    </row>
    <row r="309" spans="2:36" ht="18.75" hidden="1" x14ac:dyDescent="0.3">
      <c r="B309" s="7" t="s">
        <v>8</v>
      </c>
      <c r="C309" s="6" t="str">
        <f>IF(SQRT((ABS(AB309-D309))^2)/AB309&gt;0.02,"F","R")</f>
        <v>F</v>
      </c>
      <c r="D309" s="6"/>
      <c r="E309" s="6" t="str">
        <f>IF(SQRT((ABS(AD309-F309))^2)/AD309&gt;0.02,"F","R")</f>
        <v>F</v>
      </c>
      <c r="F309" s="6"/>
      <c r="G309" s="6"/>
      <c r="H309" s="6" t="str">
        <f>IF(SQRT((ABS(AG309-I309))^2)/AG309&gt;0.02,"F","R")</f>
        <v>F</v>
      </c>
      <c r="I309" s="6"/>
      <c r="J309" s="6" t="str">
        <f>IF(SQRT((ABS(AI309-K309))^2)/AI309&gt;0.02,"F","R")</f>
        <v>F</v>
      </c>
      <c r="K309" s="6"/>
      <c r="L309" s="107"/>
      <c r="N309" s="3"/>
      <c r="O309" s="3"/>
      <c r="P309" s="3"/>
      <c r="Q309" s="3"/>
      <c r="R309" s="3"/>
      <c r="S309" s="3"/>
      <c r="T309" s="3"/>
      <c r="U309" s="3"/>
      <c r="V309" s="3"/>
      <c r="W309" s="3"/>
      <c r="X309" s="3"/>
      <c r="Y309" s="3"/>
      <c r="Z309" s="3"/>
      <c r="AA309" s="437" t="s">
        <v>8</v>
      </c>
      <c r="AB309" s="446">
        <v>1.0337943818622557</v>
      </c>
      <c r="AC309" s="446"/>
      <c r="AD309" s="446">
        <v>9.3041494367603015</v>
      </c>
      <c r="AE309" s="446"/>
      <c r="AF309" s="437"/>
      <c r="AG309" s="446">
        <v>6.2027662911735337</v>
      </c>
      <c r="AH309" s="446"/>
      <c r="AI309" s="446">
        <v>6.2027662911735337</v>
      </c>
      <c r="AJ309" s="446"/>
    </row>
    <row r="310" spans="2:36" ht="18.75" hidden="1" x14ac:dyDescent="0.3">
      <c r="B310" s="7" t="s">
        <v>9</v>
      </c>
      <c r="C310" s="6" t="str">
        <f>IF(SQRT((ABS(AB310-D310))^2)/AB310&gt;0.02,"F","R")</f>
        <v>F</v>
      </c>
      <c r="D310" s="6"/>
      <c r="E310" s="6" t="str">
        <f>IF(SQRT((ABS(AD310-F310))^2)/AD310&gt;0.02,"F","R")</f>
        <v>F</v>
      </c>
      <c r="F310" s="6"/>
      <c r="G310" s="6"/>
      <c r="H310" s="6" t="str">
        <f>IF(SQRT((ABS(AG310-I310))^2)/AG310&gt;0.02,"F","R")</f>
        <v>F</v>
      </c>
      <c r="I310" s="6"/>
      <c r="J310" s="6" t="str">
        <f>IF(SQRT((ABS(AI310-K310))^2)/AI310&gt;0.02,"F","R")</f>
        <v>F</v>
      </c>
      <c r="K310" s="6"/>
      <c r="L310" s="107"/>
      <c r="N310" s="3"/>
      <c r="O310" s="3"/>
      <c r="P310" s="3"/>
      <c r="Q310" s="3"/>
      <c r="R310" s="3"/>
      <c r="S310" s="3"/>
      <c r="T310" s="3"/>
      <c r="U310" s="3"/>
      <c r="V310" s="3"/>
      <c r="W310" s="3"/>
      <c r="X310" s="3"/>
      <c r="Y310" s="3"/>
      <c r="Z310" s="3"/>
      <c r="AA310" s="437" t="s">
        <v>9</v>
      </c>
      <c r="AB310" s="446">
        <v>1</v>
      </c>
      <c r="AC310" s="446"/>
      <c r="AD310" s="446">
        <v>9</v>
      </c>
      <c r="AE310" s="446"/>
      <c r="AF310" s="437"/>
      <c r="AG310" s="446">
        <v>6</v>
      </c>
      <c r="AH310" s="446"/>
      <c r="AI310" s="446">
        <v>6</v>
      </c>
      <c r="AJ310" s="446"/>
    </row>
    <row r="311" spans="2:36" hidden="1" x14ac:dyDescent="0.25">
      <c r="B311" s="106"/>
      <c r="C311" s="3"/>
      <c r="D311" s="3"/>
      <c r="E311" s="3"/>
      <c r="F311" s="3"/>
      <c r="G311" s="3"/>
      <c r="H311" s="3"/>
      <c r="I311" s="3"/>
      <c r="J311" s="3"/>
      <c r="K311" s="3"/>
      <c r="L311" s="107"/>
      <c r="N311" s="3"/>
      <c r="O311" s="3"/>
      <c r="P311" s="3"/>
      <c r="Q311" s="3"/>
      <c r="R311" s="3"/>
      <c r="S311" s="3"/>
      <c r="T311" s="3"/>
      <c r="U311" s="3"/>
      <c r="V311" s="3"/>
      <c r="W311" s="3"/>
      <c r="X311" s="3"/>
      <c r="Y311" s="3"/>
      <c r="Z311" s="3"/>
      <c r="AA311" s="437"/>
      <c r="AB311" s="437"/>
      <c r="AC311" s="437"/>
      <c r="AD311" s="437"/>
      <c r="AE311" s="437"/>
      <c r="AF311" s="437"/>
      <c r="AG311" s="437"/>
      <c r="AH311" s="437"/>
      <c r="AI311" s="437"/>
      <c r="AJ311" s="437"/>
    </row>
    <row r="312" spans="2:36" ht="18.75" hidden="1" x14ac:dyDescent="0.3">
      <c r="B312" s="6"/>
      <c r="C312" s="6"/>
      <c r="D312" s="7" t="str">
        <f>AC312</f>
        <v>C6H12</v>
      </c>
      <c r="E312" s="7"/>
      <c r="F312" s="7" t="s">
        <v>49</v>
      </c>
      <c r="G312" s="7" t="str">
        <f>AF312</f>
        <v>⟶</v>
      </c>
      <c r="H312" s="7"/>
      <c r="I312" s="7" t="s">
        <v>31</v>
      </c>
      <c r="J312" s="7"/>
      <c r="K312" s="7" t="s">
        <v>50</v>
      </c>
      <c r="L312" s="107"/>
      <c r="N312" s="3"/>
      <c r="O312" s="3"/>
      <c r="P312" s="3"/>
      <c r="Q312" s="3"/>
      <c r="R312" s="3"/>
      <c r="S312" s="3"/>
      <c r="T312" s="3"/>
      <c r="U312" s="3"/>
      <c r="V312" s="3"/>
      <c r="W312" s="3"/>
      <c r="X312" s="3"/>
      <c r="Y312" s="3"/>
      <c r="Z312" s="3"/>
      <c r="AA312" s="437"/>
      <c r="AB312" s="437">
        <v>1</v>
      </c>
      <c r="AC312" s="445" t="s">
        <v>26</v>
      </c>
      <c r="AD312" s="445">
        <v>9</v>
      </c>
      <c r="AE312" s="445" t="s">
        <v>3</v>
      </c>
      <c r="AF312" s="445" t="s">
        <v>48</v>
      </c>
      <c r="AG312" s="445">
        <v>6</v>
      </c>
      <c r="AH312" s="445" t="s">
        <v>4</v>
      </c>
      <c r="AI312" s="445">
        <v>6</v>
      </c>
      <c r="AJ312" s="445" t="s">
        <v>5</v>
      </c>
    </row>
    <row r="313" spans="2:36" ht="18.75" hidden="1" x14ac:dyDescent="0.3">
      <c r="B313" s="7" t="s">
        <v>6</v>
      </c>
      <c r="C313" s="6"/>
      <c r="D313" s="6">
        <f>AB313</f>
        <v>59</v>
      </c>
      <c r="E313" s="6" t="str">
        <f>IF(SQRT((ABS(AD313-F313))^2)/AD313&gt;0.02,"F","R")</f>
        <v>F</v>
      </c>
      <c r="F313" s="6"/>
      <c r="G313" s="6"/>
      <c r="H313" s="6" t="str">
        <f>IF(SQRT((ABS(AG313-I313))^2)/AG313&gt;0.02,"F","R")</f>
        <v>F</v>
      </c>
      <c r="I313" s="6"/>
      <c r="J313" s="6" t="str">
        <f>IF(SQRT((ABS(AI313-K313))^2)/AI313&gt;0.02,"F","R")</f>
        <v>F</v>
      </c>
      <c r="K313" s="6"/>
      <c r="L313" s="107"/>
      <c r="N313" s="3"/>
      <c r="O313" s="3"/>
      <c r="P313" s="3"/>
      <c r="Q313" s="3"/>
      <c r="R313" s="3"/>
      <c r="S313" s="3"/>
      <c r="T313" s="3"/>
      <c r="U313" s="3"/>
      <c r="V313" s="3"/>
      <c r="W313" s="3"/>
      <c r="X313" s="3"/>
      <c r="Y313" s="3"/>
      <c r="Z313" s="3"/>
      <c r="AA313" s="437" t="s">
        <v>6</v>
      </c>
      <c r="AB313" s="446">
        <v>59</v>
      </c>
      <c r="AC313" s="446"/>
      <c r="AD313" s="446">
        <v>201.91073720233851</v>
      </c>
      <c r="AE313" s="446"/>
      <c r="AF313" s="437"/>
      <c r="AG313" s="446">
        <v>185.12690717239411</v>
      </c>
      <c r="AH313" s="446"/>
      <c r="AI313" s="446">
        <v>75.783830029944369</v>
      </c>
      <c r="AJ313" s="446"/>
    </row>
    <row r="314" spans="2:36" ht="18.75" hidden="1" x14ac:dyDescent="0.3">
      <c r="B314" s="7" t="s">
        <v>7</v>
      </c>
      <c r="C314" s="6" t="str">
        <f>IF(SQRT((ABS(AB314-D314))^2)/AB314&gt;0.02,"F","R")</f>
        <v>F</v>
      </c>
      <c r="D314" s="6"/>
      <c r="E314" s="6" t="str">
        <f>IF(SQRT((ABS(AD314-F314))^2)/AD314&gt;0.02,"F","R")</f>
        <v>F</v>
      </c>
      <c r="F314" s="6"/>
      <c r="G314" s="6"/>
      <c r="H314" s="6" t="str">
        <f>IF(SQRT((ABS(AG314-I314))^2)/AG314&gt;0.02,"F","R")</f>
        <v>F</v>
      </c>
      <c r="I314" s="6"/>
      <c r="J314" s="6" t="str">
        <f>IF(SQRT((ABS(AI314-K314))^2)/AI314&gt;0.02,"F","R")</f>
        <v>F</v>
      </c>
      <c r="K314" s="6"/>
      <c r="L314" s="107"/>
      <c r="N314" s="3"/>
      <c r="O314" s="3"/>
      <c r="P314" s="3"/>
      <c r="Q314" s="3"/>
      <c r="R314" s="3"/>
      <c r="S314" s="3"/>
      <c r="T314" s="3"/>
      <c r="U314" s="3"/>
      <c r="V314" s="3"/>
      <c r="W314" s="3"/>
      <c r="X314" s="3"/>
      <c r="Y314" s="3"/>
      <c r="Z314" s="3"/>
      <c r="AA314" s="437" t="s">
        <v>7</v>
      </c>
      <c r="AB314" s="446">
        <v>84.156000000000006</v>
      </c>
      <c r="AC314" s="446"/>
      <c r="AD314" s="446">
        <v>32</v>
      </c>
      <c r="AE314" s="446"/>
      <c r="AF314" s="437"/>
      <c r="AG314" s="446">
        <v>44.01</v>
      </c>
      <c r="AH314" s="446"/>
      <c r="AI314" s="446">
        <v>18.015999999999998</v>
      </c>
      <c r="AJ314" s="446"/>
    </row>
    <row r="315" spans="2:36" ht="18.75" hidden="1" x14ac:dyDescent="0.3">
      <c r="B315" s="7" t="s">
        <v>8</v>
      </c>
      <c r="C315" s="6" t="str">
        <f>IF(SQRT((ABS(AB315-D315))^2)/AB315&gt;0.02,"F","R")</f>
        <v>F</v>
      </c>
      <c r="D315" s="6"/>
      <c r="E315" s="6" t="str">
        <f>IF(SQRT((ABS(AD315-F315))^2)/AD315&gt;0.02,"F","R")</f>
        <v>F</v>
      </c>
      <c r="F315" s="6"/>
      <c r="G315" s="6"/>
      <c r="H315" s="6" t="str">
        <f>IF(SQRT((ABS(AG315-I315))^2)/AG315&gt;0.02,"F","R")</f>
        <v>F</v>
      </c>
      <c r="I315" s="6"/>
      <c r="J315" s="6" t="str">
        <f>IF(SQRT((ABS(AI315-K315))^2)/AI315&gt;0.02,"F","R")</f>
        <v>F</v>
      </c>
      <c r="K315" s="6"/>
      <c r="L315" s="107"/>
      <c r="N315" s="3"/>
      <c r="O315" s="3"/>
      <c r="P315" s="3"/>
      <c r="Q315" s="3"/>
      <c r="R315" s="3"/>
      <c r="S315" s="3"/>
      <c r="T315" s="3"/>
      <c r="U315" s="3"/>
      <c r="V315" s="3"/>
      <c r="W315" s="3"/>
      <c r="X315" s="3"/>
      <c r="Y315" s="3"/>
      <c r="Z315" s="3"/>
      <c r="AA315" s="437" t="s">
        <v>8</v>
      </c>
      <c r="AB315" s="446">
        <v>0.70107894861923092</v>
      </c>
      <c r="AC315" s="446"/>
      <c r="AD315" s="446">
        <v>6.3097105375730784</v>
      </c>
      <c r="AE315" s="446"/>
      <c r="AF315" s="437"/>
      <c r="AG315" s="446">
        <v>4.2064736917153853</v>
      </c>
      <c r="AH315" s="446"/>
      <c r="AI315" s="446">
        <v>4.2064736917153853</v>
      </c>
      <c r="AJ315" s="446"/>
    </row>
    <row r="316" spans="2:36" ht="18.75" hidden="1" x14ac:dyDescent="0.3">
      <c r="B316" s="7" t="s">
        <v>9</v>
      </c>
      <c r="C316" s="6" t="str">
        <f>IF(SQRT((ABS(AB316-D316))^2)/AB316&gt;0.02,"F","R")</f>
        <v>F</v>
      </c>
      <c r="D316" s="6"/>
      <c r="E316" s="6" t="str">
        <f>IF(SQRT((ABS(AD316-F316))^2)/AD316&gt;0.02,"F","R")</f>
        <v>F</v>
      </c>
      <c r="F316" s="6"/>
      <c r="G316" s="6"/>
      <c r="H316" s="6" t="str">
        <f>IF(SQRT((ABS(AG316-I316))^2)/AG316&gt;0.02,"F","R")</f>
        <v>F</v>
      </c>
      <c r="I316" s="6"/>
      <c r="J316" s="6" t="str">
        <f>IF(SQRT((ABS(AI316-K316))^2)/AI316&gt;0.02,"F","R")</f>
        <v>F</v>
      </c>
      <c r="K316" s="6"/>
      <c r="L316" s="107"/>
      <c r="N316" s="3"/>
      <c r="O316" s="3"/>
      <c r="P316" s="3"/>
      <c r="Q316" s="3"/>
      <c r="R316" s="3"/>
      <c r="S316" s="3"/>
      <c r="T316" s="3"/>
      <c r="U316" s="3"/>
      <c r="V316" s="3"/>
      <c r="W316" s="3"/>
      <c r="X316" s="3"/>
      <c r="Y316" s="3"/>
      <c r="Z316" s="3"/>
      <c r="AA316" s="437" t="s">
        <v>9</v>
      </c>
      <c r="AB316" s="446">
        <v>1</v>
      </c>
      <c r="AC316" s="446"/>
      <c r="AD316" s="446">
        <v>9</v>
      </c>
      <c r="AE316" s="446"/>
      <c r="AF316" s="437"/>
      <c r="AG316" s="446">
        <v>6</v>
      </c>
      <c r="AH316" s="446"/>
      <c r="AI316" s="446">
        <v>6</v>
      </c>
      <c r="AJ316" s="446"/>
    </row>
  </sheetData>
  <sheetProtection algorithmName="SHA-512" hashValue="/u2tDiX5Fq9dq5oUqTRO5M/UdnaHIOs3rF22xCeHazAnXA00mPC0ekmHjQR5/um+44r20nKFIuTB2KEEHKcKbQ==" saltValue="Z1yG1mUv6Koru6iQSEUf6w==" spinCount="100000" sheet="1" objects="1" scenarios="1" formatColumns="0" formatRows="0"/>
  <mergeCells count="17">
    <mergeCell ref="G79:G82"/>
    <mergeCell ref="G85:G88"/>
    <mergeCell ref="G91:G94"/>
    <mergeCell ref="G97:G100"/>
    <mergeCell ref="G103:G106"/>
    <mergeCell ref="G73:G76"/>
    <mergeCell ref="G7:G10"/>
    <mergeCell ref="G13:G16"/>
    <mergeCell ref="G19:G22"/>
    <mergeCell ref="G25:G28"/>
    <mergeCell ref="G31:G34"/>
    <mergeCell ref="G37:G40"/>
    <mergeCell ref="G43:G46"/>
    <mergeCell ref="G49:G52"/>
    <mergeCell ref="G55:G58"/>
    <mergeCell ref="G61:G64"/>
    <mergeCell ref="G67:G70"/>
  </mergeCells>
  <conditionalFormatting sqref="C2:C1048576">
    <cfRule type="containsText" dxfId="355" priority="61" operator="containsText" text="R">
      <formula>NOT(ISERROR(SEARCH("R",C2)))</formula>
    </cfRule>
    <cfRule type="containsText" dxfId="354" priority="62" operator="containsText" text="F">
      <formula>NOT(ISERROR(SEARCH("F",C2)))</formula>
    </cfRule>
  </conditionalFormatting>
  <conditionalFormatting sqref="E1:E1048576 H1:H1048576 J4:J1048576">
    <cfRule type="containsText" dxfId="353" priority="1" operator="containsText" text="R">
      <formula>NOT(ISERROR(SEARCH("R",E1)))</formula>
    </cfRule>
    <cfRule type="containsText" dxfId="352" priority="2" operator="containsText" text="F">
      <formula>NOT(ISERROR(SEARCH("F",E1)))</formula>
    </cfRule>
  </conditionalFormatting>
  <conditionalFormatting sqref="J2">
    <cfRule type="containsText" dxfId="351" priority="73" operator="containsText" text="R">
      <formula>NOT(ISERROR(SEARCH("R",J2)))</formula>
    </cfRule>
    <cfRule type="containsText" dxfId="350" priority="74" operator="containsText" text="F">
      <formula>NOT(ISERROR(SEARCH("F",J2)))</formula>
    </cfRule>
  </conditionalFormatting>
  <dataValidations count="1">
    <dataValidation type="decimal" allowBlank="1" showInputMessage="1" showErrorMessage="1" sqref="D8:D10 F7:F10 I7:I10 K7:K10 D14:D16 F13:F16 I13:I16 K13:K16 D20:D22 F19:F22 I19:I22 K19:K22 D26:D28 F25:F28 I25:I28 K25:K28 D32:D34 F31:F34 I31:I34 K31:K34 D38:D40 F37:F40 I37:I40 K37:K40 D44:D46 F43:F46 I43:I46 K43:K46 D50:D52 F49:F52 I49:I52 K49:K52 D56:D58 F55:F58 I55:I58 K55:K58 D62:D64 F61:F64 I61:I64 K61:K64 D68:D70 F67:F70 I67:I70 K67:K70 D74:D76 F73:F76 I73:I76 K73:K76 D80:D82 F79:F82 I79:I82 K79:K82 D86:D88 F85:F88 I85:I88 K85:K88 D92:D94 F91:F94 I91:I94 K91:K94 D98:D100 F97:F100 I97:I100 K97:K100 D104:D106 F103:F106 I103:I106 K103:K106" xr:uid="{119F5DA3-A213-4A15-91CF-DC8EC2C74FEE}">
      <formula1>0.001</formula1>
      <formula2>100000</formula2>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Forside</vt:lpstr>
      <vt:lpstr>1.1 Atomet og Elektronstruktur</vt:lpstr>
      <vt:lpstr>1.2 Afstem reaktionsskemaer</vt:lpstr>
      <vt:lpstr>2.1 Ioner og navne</vt:lpstr>
      <vt:lpstr>2.2 Fældningsreaktioner</vt:lpstr>
      <vt:lpstr>3 Molekyler og polaritet</vt:lpstr>
      <vt:lpstr>4.1 Betydende cifre</vt:lpstr>
      <vt:lpstr>4.2 Mængdeberegningsskema</vt:lpstr>
      <vt:lpstr>4.3 Mængdeberegningsskema</vt:lpstr>
      <vt:lpstr>5.1 Stofmængdekoncentration</vt:lpstr>
      <vt:lpstr>5.2 Mohr-Titrering</vt:lpstr>
      <vt:lpstr>6.1 Substitution i benzin</vt:lpstr>
      <vt:lpstr>Sheet2</vt:lpstr>
      <vt:lpstr>7.1 SyreBase Kemi</vt:lpstr>
      <vt:lpstr>7.2 (svær) pH-beregninger</vt:lpstr>
      <vt:lpstr>8.1 Oxidationstal</vt:lpstr>
      <vt:lpstr>8.2 Redoxreaktioner</vt:lpstr>
      <vt:lpstr>Fagordsquiz for Kemi C</vt:lpstr>
    </vt:vector>
  </TitlesOfParts>
  <Company>kemiformler.dk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Niels Kræmmer</dc:creator>
  <cp:lastModifiedBy>Niels Kaldal Kræmmer</cp:lastModifiedBy>
  <dcterms:created xsi:type="dcterms:W3CDTF">2014-11-03T07:21:44Z</dcterms:created>
  <dcterms:modified xsi:type="dcterms:W3CDTF">2025-09-18T19:31:51Z</dcterms:modified>
</cp:coreProperties>
</file>